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570" windowHeight="11760" tabRatio="206" activeTab="0"/>
  </bookViews>
  <sheets>
    <sheet name="ТЭП работы (2018)" sheetId="1" r:id="rId1"/>
    <sheet name="Лист1" sheetId="2" r:id="rId2"/>
    <sheet name="ТЭП работы" sheetId="3" r:id="rId3"/>
  </sheets>
  <definedNames>
    <definedName name="_xlnm.Print_Titles" localSheetId="2">'ТЭП работы'!$4:$5</definedName>
    <definedName name="_xlnm.Print_Titles" localSheetId="0">'ТЭП работы (2018)'!$4:$5</definedName>
    <definedName name="_xlnm.Print_Area" localSheetId="1">'Лист1'!$A$1:$B$43</definedName>
    <definedName name="_xlnm.Print_Area" localSheetId="2">'ТЭП работы'!$A$1:$L$58</definedName>
    <definedName name="_xlnm.Print_Area" localSheetId="0">'ТЭП работы (2018)'!$A$1:$L$60</definedName>
  </definedNames>
  <calcPr fullCalcOnLoad="1"/>
</workbook>
</file>

<file path=xl/sharedStrings.xml><?xml version="1.0" encoding="utf-8"?>
<sst xmlns="http://schemas.openxmlformats.org/spreadsheetml/2006/main" count="104" uniqueCount="58">
  <si>
    <t>КПД котельной брутто - в %</t>
  </si>
  <si>
    <t>Расход условного топлива на 1 Гкал в кг</t>
  </si>
  <si>
    <t>Южная</t>
  </si>
  <si>
    <t>Западная</t>
  </si>
  <si>
    <t>Больничный комплекс</t>
  </si>
  <si>
    <t>Школа глухонемых</t>
  </si>
  <si>
    <t>Урицкого, 16</t>
  </si>
  <si>
    <t>Совхоз-техникум</t>
  </si>
  <si>
    <t>Сельхозакадемия</t>
  </si>
  <si>
    <t>Злобина, 51б</t>
  </si>
  <si>
    <t xml:space="preserve">Пархоменко, 29в </t>
  </si>
  <si>
    <t>Аксакова</t>
  </si>
  <si>
    <t>Пермская, 1</t>
  </si>
  <si>
    <t xml:space="preserve">Школа № 60 </t>
  </si>
  <si>
    <t>Воронежская</t>
  </si>
  <si>
    <t>Ломоносова, 4</t>
  </si>
  <si>
    <t>Школа № 8</t>
  </si>
  <si>
    <t>Школа № 5</t>
  </si>
  <si>
    <t>Измайлова, 41</t>
  </si>
  <si>
    <t>Павлушкина, 19</t>
  </si>
  <si>
    <t>Привокзальная</t>
  </si>
  <si>
    <t>Школа № 40</t>
  </si>
  <si>
    <t>Каляева, 7</t>
  </si>
  <si>
    <t>Итого:</t>
  </si>
  <si>
    <t>Наименование котельной</t>
  </si>
  <si>
    <t>№ п/п</t>
  </si>
  <si>
    <t>пос.Монтажный</t>
  </si>
  <si>
    <t>Военный городок 2</t>
  </si>
  <si>
    <t>Гостиница Пенза</t>
  </si>
  <si>
    <t xml:space="preserve">Ортопедическое предприятие </t>
  </si>
  <si>
    <t>пос.Заря</t>
  </si>
  <si>
    <t>Библиотека им.Лермонтова</t>
  </si>
  <si>
    <t>Агрохимлаборатория</t>
  </si>
  <si>
    <t>Кордон Студеный</t>
  </si>
  <si>
    <t>4 пр.Терновского</t>
  </si>
  <si>
    <t>610 квартал</t>
  </si>
  <si>
    <t>Исп.</t>
  </si>
  <si>
    <t>Горбунова И.А.</t>
  </si>
  <si>
    <t>Дата</t>
  </si>
  <si>
    <t>Галетная</t>
  </si>
  <si>
    <t>Ягодная</t>
  </si>
  <si>
    <t>Годовая выработка тепла, тыс.Гкал</t>
  </si>
  <si>
    <t>Расход тепла на собственные нужды, тыс.Гкал</t>
  </si>
  <si>
    <t>Расход тепла на собственные нужды от полезного отпуска, %</t>
  </si>
  <si>
    <t>Годовой отпуск тепла, тыс.Гкал</t>
  </si>
  <si>
    <t>Потери в тепловых сетях, тыс.Гкал</t>
  </si>
  <si>
    <t>Потери в тепловых сетях от полезного отпуска, %</t>
  </si>
  <si>
    <t>Полезный отпуск, тыс.Гкал</t>
  </si>
  <si>
    <t>Годовой расход топлива по видам, тыс.т.у.т.</t>
  </si>
  <si>
    <t>Удельный расход топлива на производство единицы тепловой энергии, кг.у.т/Гкал</t>
  </si>
  <si>
    <t>04.02.2019г.</t>
  </si>
  <si>
    <t>Роддом № 2</t>
  </si>
  <si>
    <t>Таблица    Технико-экономические показатели работы АО "Пензтеплоснабжение"</t>
  </si>
  <si>
    <t>Начальник ПТО АО "Пензтеплоснабжение"                                            А. Н. Ермошин</t>
  </si>
  <si>
    <t>Котельная №116 (В/г №1)</t>
  </si>
  <si>
    <t>6-ой мкр. Арбеково</t>
  </si>
  <si>
    <t>Потери в тепловых сетях от выработки, %</t>
  </si>
  <si>
    <t>Таблица  8. Технико-экономические показатели работы АО "Пензтеплоснабжение" 2018 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</si>
</sst>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0_р_._-;\-* #,##0.0000_р_._-;_-* &quot;-&quot;??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\ _₽_-;\-* #,##0.000\ _₽_-;_-* &quot;-&quot;???\ _₽_-;_-@_-"/>
  </numFmts>
  <fonts count="63">
    <font>
      <sz val="10"/>
      <name val="Arial Cyr"/>
      <family val="2"/>
    </font>
    <font>
      <sz val="10"/>
      <name val="Arial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name val="Arial Cyr"/>
      <family val="2"/>
    </font>
    <font>
      <sz val="7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10"/>
      <name val="Arial"/>
      <family val="2"/>
    </font>
    <font>
      <b/>
      <sz val="12"/>
      <color indexed="10"/>
      <name val="Arial Cyr"/>
      <family val="2"/>
    </font>
    <font>
      <sz val="7"/>
      <color indexed="10"/>
      <name val="Arial Cyr"/>
      <family val="0"/>
    </font>
    <font>
      <sz val="8"/>
      <color indexed="10"/>
      <name val="Arial Cyr"/>
      <family val="2"/>
    </font>
    <font>
      <sz val="10"/>
      <color indexed="10"/>
      <name val="Arial"/>
      <family val="2"/>
    </font>
    <font>
      <b/>
      <i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Arial"/>
      <family val="2"/>
    </font>
    <font>
      <b/>
      <sz val="10"/>
      <color rgb="FFFF0000"/>
      <name val="Arial Cyr"/>
      <family val="2"/>
    </font>
    <font>
      <b/>
      <sz val="12"/>
      <color rgb="FFFF0000"/>
      <name val="Arial Cyr"/>
      <family val="2"/>
    </font>
    <font>
      <sz val="7"/>
      <color rgb="FFFF0000"/>
      <name val="Arial Cyr"/>
      <family val="0"/>
    </font>
    <font>
      <sz val="8"/>
      <color rgb="FFFF0000"/>
      <name val="Arial Cyr"/>
      <family val="2"/>
    </font>
    <font>
      <sz val="10"/>
      <color rgb="FFFF0000"/>
      <name val="Arial"/>
      <family val="2"/>
    </font>
    <font>
      <b/>
      <i/>
      <sz val="11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" fontId="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2" fontId="0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0" fontId="2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1" fontId="54" fillId="0" borderId="0" xfId="0" applyNumberFormat="1" applyFont="1" applyFill="1" applyAlignment="1">
      <alignment horizontal="left"/>
    </xf>
    <xf numFmtId="0" fontId="0" fillId="0" borderId="20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180" fontId="56" fillId="0" borderId="19" xfId="6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55" fillId="0" borderId="2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0" fillId="0" borderId="26" xfId="0" applyFont="1" applyBorder="1" applyAlignment="1">
      <alignment horizontal="center" vertical="center" wrapText="1"/>
    </xf>
    <xf numFmtId="180" fontId="61" fillId="0" borderId="27" xfId="60" applyNumberFormat="1" applyFont="1" applyFill="1" applyBorder="1" applyAlignment="1">
      <alignment horizontal="center"/>
    </xf>
    <xf numFmtId="180" fontId="61" fillId="0" borderId="28" xfId="60" applyNumberFormat="1" applyFont="1" applyFill="1" applyBorder="1" applyAlignment="1">
      <alignment horizontal="center"/>
    </xf>
    <xf numFmtId="180" fontId="61" fillId="0" borderId="29" xfId="6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80" fontId="61" fillId="0" borderId="35" xfId="6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180" fontId="61" fillId="0" borderId="23" xfId="60" applyNumberFormat="1" applyFont="1" applyFill="1" applyBorder="1" applyAlignment="1">
      <alignment horizontal="center"/>
    </xf>
    <xf numFmtId="180" fontId="61" fillId="0" borderId="41" xfId="60" applyNumberFormat="1" applyFont="1" applyFill="1" applyBorder="1" applyAlignment="1">
      <alignment horizontal="center"/>
    </xf>
    <xf numFmtId="180" fontId="61" fillId="0" borderId="27" xfId="60" applyNumberFormat="1" applyFont="1" applyBorder="1" applyAlignment="1">
      <alignment horizontal="center"/>
    </xf>
    <xf numFmtId="180" fontId="61" fillId="0" borderId="31" xfId="60" applyNumberFormat="1" applyFont="1" applyFill="1" applyBorder="1" applyAlignment="1">
      <alignment horizontal="center"/>
    </xf>
    <xf numFmtId="180" fontId="61" fillId="0" borderId="42" xfId="60" applyNumberFormat="1" applyFont="1" applyFill="1" applyBorder="1" applyAlignment="1">
      <alignment horizontal="center"/>
    </xf>
    <xf numFmtId="180" fontId="61" fillId="0" borderId="28" xfId="60" applyNumberFormat="1" applyFont="1" applyBorder="1" applyAlignment="1">
      <alignment horizontal="center"/>
    </xf>
    <xf numFmtId="180" fontId="61" fillId="0" borderId="34" xfId="60" applyNumberFormat="1" applyFont="1" applyFill="1" applyBorder="1" applyAlignment="1">
      <alignment horizontal="center"/>
    </xf>
    <xf numFmtId="180" fontId="61" fillId="0" borderId="43" xfId="60" applyNumberFormat="1" applyFont="1" applyFill="1" applyBorder="1" applyAlignment="1">
      <alignment horizontal="center"/>
    </xf>
    <xf numFmtId="180" fontId="61" fillId="0" borderId="35" xfId="60" applyNumberFormat="1" applyFont="1" applyBorder="1" applyAlignment="1">
      <alignment horizontal="center"/>
    </xf>
    <xf numFmtId="180" fontId="61" fillId="0" borderId="37" xfId="60" applyNumberFormat="1" applyFont="1" applyFill="1" applyBorder="1" applyAlignment="1">
      <alignment horizontal="center"/>
    </xf>
    <xf numFmtId="180" fontId="61" fillId="0" borderId="44" xfId="60" applyNumberFormat="1" applyFont="1" applyFill="1" applyBorder="1" applyAlignment="1">
      <alignment horizontal="center"/>
    </xf>
    <xf numFmtId="180" fontId="61" fillId="0" borderId="29" xfId="60" applyNumberFormat="1" applyFont="1" applyBorder="1" applyAlignment="1">
      <alignment horizontal="center"/>
    </xf>
    <xf numFmtId="180" fontId="1" fillId="0" borderId="31" xfId="6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180" fontId="1" fillId="0" borderId="45" xfId="6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80" fontId="1" fillId="0" borderId="41" xfId="60" applyNumberFormat="1" applyFont="1" applyFill="1" applyBorder="1" applyAlignment="1">
      <alignment horizontal="center"/>
    </xf>
    <xf numFmtId="180" fontId="1" fillId="0" borderId="42" xfId="60" applyNumberFormat="1" applyFont="1" applyFill="1" applyBorder="1" applyAlignment="1">
      <alignment horizontal="center"/>
    </xf>
    <xf numFmtId="180" fontId="1" fillId="0" borderId="43" xfId="60" applyNumberFormat="1" applyFont="1" applyFill="1" applyBorder="1" applyAlignment="1">
      <alignment horizontal="center"/>
    </xf>
    <xf numFmtId="180" fontId="12" fillId="0" borderId="19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1" fillId="0" borderId="28" xfId="6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180" fontId="1" fillId="0" borderId="23" xfId="60" applyNumberFormat="1" applyFont="1" applyFill="1" applyBorder="1" applyAlignment="1">
      <alignment horizontal="center"/>
    </xf>
    <xf numFmtId="180" fontId="1" fillId="0" borderId="27" xfId="6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80" fontId="1" fillId="0" borderId="34" xfId="60" applyNumberFormat="1" applyFont="1" applyFill="1" applyBorder="1" applyAlignment="1">
      <alignment horizontal="center"/>
    </xf>
    <xf numFmtId="180" fontId="1" fillId="0" borderId="35" xfId="6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8" fillId="0" borderId="39" xfId="0" applyFont="1" applyFill="1" applyBorder="1" applyAlignment="1">
      <alignment horizontal="center" vertical="center" wrapText="1"/>
    </xf>
    <xf numFmtId="180" fontId="1" fillId="0" borderId="46" xfId="60" applyNumberFormat="1" applyFont="1" applyBorder="1" applyAlignment="1">
      <alignment horizontal="center"/>
    </xf>
    <xf numFmtId="180" fontId="1" fillId="0" borderId="20" xfId="60" applyNumberFormat="1" applyFont="1" applyBorder="1" applyAlignment="1">
      <alignment horizontal="center"/>
    </xf>
    <xf numFmtId="180" fontId="1" fillId="0" borderId="47" xfId="60" applyNumberFormat="1" applyFont="1" applyBorder="1" applyAlignment="1">
      <alignment horizontal="center"/>
    </xf>
    <xf numFmtId="171" fontId="1" fillId="0" borderId="41" xfId="60" applyNumberFormat="1" applyFont="1" applyFill="1" applyBorder="1" applyAlignment="1">
      <alignment horizontal="center"/>
    </xf>
    <xf numFmtId="171" fontId="1" fillId="0" borderId="42" xfId="60" applyNumberFormat="1" applyFont="1" applyFill="1" applyBorder="1" applyAlignment="1">
      <alignment horizontal="center"/>
    </xf>
    <xf numFmtId="171" fontId="1" fillId="0" borderId="44" xfId="6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80" fontId="12" fillId="0" borderId="49" xfId="6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180" fontId="12" fillId="0" borderId="18" xfId="60" applyNumberFormat="1" applyFont="1" applyFill="1" applyBorder="1" applyAlignment="1">
      <alignment horizontal="center"/>
    </xf>
    <xf numFmtId="180" fontId="12" fillId="0" borderId="50" xfId="60" applyNumberFormat="1" applyFont="1" applyFill="1" applyBorder="1" applyAlignment="1">
      <alignment horizontal="center"/>
    </xf>
    <xf numFmtId="171" fontId="12" fillId="0" borderId="49" xfId="6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60"/>
  <sheetViews>
    <sheetView tabSelected="1" view="pageBreakPreview" zoomScaleSheetLayoutView="100" zoomScalePageLayoutView="0" workbookViewId="0" topLeftCell="A1">
      <pane xSplit="3" ySplit="5" topLeftCell="D5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59" sqref="A59:IV60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27.75390625" style="27" customWidth="1"/>
    <col min="4" max="4" width="10.375" style="16" customWidth="1"/>
    <col min="5" max="8" width="12.75390625" style="16" customWidth="1"/>
    <col min="9" max="10" width="12.75390625" style="46" customWidth="1"/>
    <col min="11" max="11" width="11.00390625" style="46" customWidth="1"/>
    <col min="12" max="12" width="12.75390625" style="46" customWidth="1"/>
    <col min="13" max="13" width="10.25390625" style="0" customWidth="1"/>
    <col min="14" max="14" width="1.12109375" style="0" customWidth="1"/>
    <col min="15" max="15" width="12.25390625" style="15" customWidth="1"/>
  </cols>
  <sheetData>
    <row r="1" ht="12.75">
      <c r="B1" s="16"/>
    </row>
    <row r="2" spans="2:12" ht="14.25">
      <c r="B2" s="54"/>
      <c r="C2" s="54" t="s">
        <v>57</v>
      </c>
      <c r="D2" s="54"/>
      <c r="E2" s="54"/>
      <c r="F2" s="54"/>
      <c r="G2" s="54"/>
      <c r="H2" s="54"/>
      <c r="I2" s="76"/>
      <c r="J2" s="76"/>
      <c r="K2" s="76"/>
      <c r="L2" s="54"/>
    </row>
    <row r="3" ht="13.5" thickBot="1">
      <c r="B3" s="16"/>
    </row>
    <row r="4" spans="2:15" s="111" customFormat="1" ht="105" customHeight="1" thickBot="1">
      <c r="B4" s="94" t="s">
        <v>25</v>
      </c>
      <c r="C4" s="110" t="s">
        <v>24</v>
      </c>
      <c r="D4" s="94" t="s">
        <v>41</v>
      </c>
      <c r="E4" s="94" t="s">
        <v>42</v>
      </c>
      <c r="F4" s="94" t="s">
        <v>43</v>
      </c>
      <c r="G4" s="94" t="s">
        <v>44</v>
      </c>
      <c r="H4" s="110" t="s">
        <v>45</v>
      </c>
      <c r="I4" s="94" t="s">
        <v>46</v>
      </c>
      <c r="J4" s="94" t="s">
        <v>47</v>
      </c>
      <c r="K4" s="110" t="s">
        <v>48</v>
      </c>
      <c r="L4" s="110" t="s">
        <v>49</v>
      </c>
      <c r="O4" s="110" t="s">
        <v>56</v>
      </c>
    </row>
    <row r="5" spans="2:15" s="23" customFormat="1" ht="12" thickBot="1">
      <c r="B5" s="55">
        <v>1</v>
      </c>
      <c r="C5" s="63">
        <v>2</v>
      </c>
      <c r="D5" s="95">
        <v>3</v>
      </c>
      <c r="E5" s="95">
        <v>4</v>
      </c>
      <c r="F5" s="95">
        <v>5</v>
      </c>
      <c r="G5" s="95">
        <v>6</v>
      </c>
      <c r="H5" s="127">
        <v>7</v>
      </c>
      <c r="I5" s="95">
        <v>8</v>
      </c>
      <c r="J5" s="95">
        <v>9</v>
      </c>
      <c r="K5" s="112">
        <v>10</v>
      </c>
      <c r="L5" s="113">
        <v>11</v>
      </c>
      <c r="O5" s="113"/>
    </row>
    <row r="6" spans="2:15" s="109" customFormat="1" ht="12.75">
      <c r="B6" s="104">
        <v>1</v>
      </c>
      <c r="C6" s="105" t="s">
        <v>32</v>
      </c>
      <c r="D6" s="106">
        <v>1.74</v>
      </c>
      <c r="E6" s="106">
        <v>0.0071</v>
      </c>
      <c r="F6" s="106">
        <f>E6/J6*100</f>
        <v>0.5428134556574924</v>
      </c>
      <c r="G6" s="96">
        <f aca="true" t="shared" si="0" ref="G6:G41">D6-E6</f>
        <v>1.7328999999999999</v>
      </c>
      <c r="H6" s="107">
        <f>0.432-E6</f>
        <v>0.4249</v>
      </c>
      <c r="I6" s="107">
        <f aca="true" t="shared" si="1" ref="I6:I41">H6/J6*100</f>
        <v>32.484709480122326</v>
      </c>
      <c r="J6" s="107">
        <f>G6-H6</f>
        <v>1.3079999999999998</v>
      </c>
      <c r="K6" s="130">
        <v>0.30306</v>
      </c>
      <c r="L6" s="131">
        <f>K6/D6*1000</f>
        <v>174.17241379310343</v>
      </c>
      <c r="M6" s="108"/>
      <c r="O6" s="131">
        <f>H6/G6*100</f>
        <v>24.51959143632062</v>
      </c>
    </row>
    <row r="7" spans="2:15" s="109" customFormat="1" ht="12.75">
      <c r="B7" s="114">
        <f>B6+1</f>
        <v>2</v>
      </c>
      <c r="C7" s="73" t="s">
        <v>11</v>
      </c>
      <c r="D7" s="91">
        <v>0.59</v>
      </c>
      <c r="E7" s="91">
        <v>0.00522</v>
      </c>
      <c r="F7" s="91">
        <f aca="true" t="shared" si="2" ref="F7:F41">E7/J7*100</f>
        <v>0.9961832061068701</v>
      </c>
      <c r="G7" s="97">
        <f t="shared" si="0"/>
        <v>0.58478</v>
      </c>
      <c r="H7" s="103">
        <f>0.066-E7</f>
        <v>0.06078</v>
      </c>
      <c r="I7" s="103">
        <f>H7/J7*100</f>
        <v>11.599236641221374</v>
      </c>
      <c r="J7" s="103">
        <f aca="true" t="shared" si="3" ref="J7:J41">G7-H7</f>
        <v>0.524</v>
      </c>
      <c r="K7" s="128">
        <v>0.10077</v>
      </c>
      <c r="L7" s="132">
        <f>K7/D7*1000</f>
        <v>170.79661016949152</v>
      </c>
      <c r="M7" s="115"/>
      <c r="O7" s="132">
        <f aca="true" t="shared" si="4" ref="O7:O44">H7/G7*100</f>
        <v>10.39365231369062</v>
      </c>
    </row>
    <row r="8" spans="2:15" ht="12.75">
      <c r="B8" s="57">
        <f>B7+1</f>
        <v>3</v>
      </c>
      <c r="C8" s="66" t="s">
        <v>31</v>
      </c>
      <c r="D8" s="91">
        <v>0.816</v>
      </c>
      <c r="E8" s="91">
        <v>0.00504</v>
      </c>
      <c r="F8" s="91">
        <f t="shared" si="2"/>
        <v>0.7293777134587555</v>
      </c>
      <c r="G8" s="97">
        <f t="shared" si="0"/>
        <v>0.8109599999999999</v>
      </c>
      <c r="H8" s="103">
        <f>0.125-E8</f>
        <v>0.11996</v>
      </c>
      <c r="I8" s="103">
        <f t="shared" si="1"/>
        <v>17.360347322720695</v>
      </c>
      <c r="J8" s="103">
        <f>G8-H8</f>
        <v>0.691</v>
      </c>
      <c r="K8" s="128">
        <v>0.14242</v>
      </c>
      <c r="L8" s="132">
        <f>K8/D8*1000</f>
        <v>174.5343137254902</v>
      </c>
      <c r="M8" s="115"/>
      <c r="O8" s="132">
        <f t="shared" si="4"/>
        <v>14.79234487520963</v>
      </c>
    </row>
    <row r="9" spans="2:15" s="109" customFormat="1" ht="12.75">
      <c r="B9" s="114">
        <f aca="true" t="shared" si="5" ref="B9:B29">B8+1</f>
        <v>4</v>
      </c>
      <c r="C9" s="73" t="s">
        <v>4</v>
      </c>
      <c r="D9" s="91">
        <v>4.31</v>
      </c>
      <c r="E9" s="91">
        <f>0.05745+0.00775</f>
        <v>0.06520000000000001</v>
      </c>
      <c r="F9" s="91">
        <f t="shared" si="2"/>
        <v>1.8633895398685343</v>
      </c>
      <c r="G9" s="97">
        <f t="shared" si="0"/>
        <v>4.2448</v>
      </c>
      <c r="H9" s="103">
        <f>0.811-E9</f>
        <v>0.7458</v>
      </c>
      <c r="I9" s="103">
        <f>H9/J9*100</f>
        <v>21.31466133180909</v>
      </c>
      <c r="J9" s="103">
        <f t="shared" si="3"/>
        <v>3.4989999999999997</v>
      </c>
      <c r="K9" s="128">
        <v>0.7346</v>
      </c>
      <c r="L9" s="132">
        <f>K9/D9*1000</f>
        <v>170.44083526682135</v>
      </c>
      <c r="M9" s="108"/>
      <c r="O9" s="132">
        <f t="shared" si="4"/>
        <v>17.569732378439504</v>
      </c>
    </row>
    <row r="10" spans="2:15" s="109" customFormat="1" ht="12.75">
      <c r="B10" s="114">
        <f t="shared" si="5"/>
        <v>5</v>
      </c>
      <c r="C10" s="116" t="s">
        <v>27</v>
      </c>
      <c r="D10" s="91">
        <v>3.576</v>
      </c>
      <c r="E10" s="91">
        <v>0.04236</v>
      </c>
      <c r="F10" s="91">
        <f t="shared" si="2"/>
        <v>1.313895781637717</v>
      </c>
      <c r="G10" s="97">
        <f t="shared" si="0"/>
        <v>3.53364</v>
      </c>
      <c r="H10" s="103">
        <f>0.352-E10</f>
        <v>0.30963999999999997</v>
      </c>
      <c r="I10" s="103">
        <f t="shared" si="1"/>
        <v>9.604218362282877</v>
      </c>
      <c r="J10" s="103">
        <f t="shared" si="3"/>
        <v>3.224</v>
      </c>
      <c r="K10" s="128">
        <v>0.57986</v>
      </c>
      <c r="L10" s="132">
        <f aca="true" t="shared" si="6" ref="L10:L41">K10/D10*1000</f>
        <v>162.1532438478747</v>
      </c>
      <c r="M10" s="108"/>
      <c r="O10" s="132">
        <f t="shared" si="4"/>
        <v>8.7626356957698</v>
      </c>
    </row>
    <row r="11" spans="2:15" s="109" customFormat="1" ht="12.75">
      <c r="B11" s="114">
        <f t="shared" si="5"/>
        <v>6</v>
      </c>
      <c r="C11" s="117" t="s">
        <v>14</v>
      </c>
      <c r="D11" s="91">
        <v>1.887</v>
      </c>
      <c r="E11" s="91">
        <v>0.01615</v>
      </c>
      <c r="F11" s="91">
        <f t="shared" si="2"/>
        <v>0.9218036529680368</v>
      </c>
      <c r="G11" s="97">
        <f t="shared" si="0"/>
        <v>1.87085</v>
      </c>
      <c r="H11" s="103">
        <f>0.135-E11</f>
        <v>0.11885000000000001</v>
      </c>
      <c r="I11" s="103">
        <f t="shared" si="1"/>
        <v>6.783675799086759</v>
      </c>
      <c r="J11" s="103">
        <f t="shared" si="3"/>
        <v>1.7519999999999998</v>
      </c>
      <c r="K11" s="128">
        <v>0.3171</v>
      </c>
      <c r="L11" s="132">
        <f t="shared" si="6"/>
        <v>168.04451510333863</v>
      </c>
      <c r="M11" s="108"/>
      <c r="O11" s="132">
        <f t="shared" si="4"/>
        <v>6.352727369912073</v>
      </c>
    </row>
    <row r="12" spans="2:15" s="109" customFormat="1" ht="12.75">
      <c r="B12" s="114">
        <f t="shared" si="5"/>
        <v>7</v>
      </c>
      <c r="C12" s="73" t="s">
        <v>39</v>
      </c>
      <c r="D12" s="91">
        <v>7.785</v>
      </c>
      <c r="E12" s="91">
        <v>0.03396</v>
      </c>
      <c r="F12" s="91">
        <f t="shared" si="2"/>
        <v>0.5776492600782446</v>
      </c>
      <c r="G12" s="97">
        <f>D12-E12</f>
        <v>7.75104</v>
      </c>
      <c r="H12" s="103">
        <f>1.906-E12</f>
        <v>1.87204</v>
      </c>
      <c r="I12" s="103">
        <f t="shared" si="1"/>
        <v>31.842830413335605</v>
      </c>
      <c r="J12" s="103">
        <f>G12-H12</f>
        <v>5.879</v>
      </c>
      <c r="K12" s="128">
        <v>1.36037</v>
      </c>
      <c r="L12" s="132">
        <f t="shared" si="6"/>
        <v>174.74245343609508</v>
      </c>
      <c r="M12" s="108"/>
      <c r="O12" s="132">
        <f t="shared" si="4"/>
        <v>24.152113780860375</v>
      </c>
    </row>
    <row r="13" spans="2:15" s="109" customFormat="1" ht="12.75">
      <c r="B13" s="114">
        <f t="shared" si="5"/>
        <v>8</v>
      </c>
      <c r="C13" s="118" t="s">
        <v>28</v>
      </c>
      <c r="D13" s="91">
        <v>3.174</v>
      </c>
      <c r="E13" s="91">
        <v>0.037</v>
      </c>
      <c r="F13" s="91">
        <f t="shared" si="2"/>
        <v>1.6651665166516652</v>
      </c>
      <c r="G13" s="97">
        <f t="shared" si="0"/>
        <v>3.137</v>
      </c>
      <c r="H13" s="103">
        <f>0.952-E13</f>
        <v>0.9149999999999999</v>
      </c>
      <c r="I13" s="103">
        <f t="shared" si="1"/>
        <v>41.179117911791174</v>
      </c>
      <c r="J13" s="103">
        <f t="shared" si="3"/>
        <v>2.222</v>
      </c>
      <c r="K13" s="128">
        <v>0.57474</v>
      </c>
      <c r="L13" s="132">
        <f t="shared" si="6"/>
        <v>181.07750472589794</v>
      </c>
      <c r="M13" s="108"/>
      <c r="O13" s="132">
        <f t="shared" si="4"/>
        <v>29.167994899585587</v>
      </c>
    </row>
    <row r="14" spans="2:15" s="109" customFormat="1" ht="12.75">
      <c r="B14" s="114">
        <f t="shared" si="5"/>
        <v>9</v>
      </c>
      <c r="C14" s="73" t="s">
        <v>3</v>
      </c>
      <c r="D14" s="91">
        <v>134.981</v>
      </c>
      <c r="E14" s="91">
        <v>0.80085</v>
      </c>
      <c r="F14" s="91">
        <f t="shared" si="2"/>
        <v>0.6684221947718091</v>
      </c>
      <c r="G14" s="97">
        <f t="shared" si="0"/>
        <v>134.18015</v>
      </c>
      <c r="H14" s="103">
        <f>15.169-E14</f>
        <v>14.36815</v>
      </c>
      <c r="I14" s="103">
        <f t="shared" si="1"/>
        <v>11.992246185690917</v>
      </c>
      <c r="J14" s="103">
        <f t="shared" si="3"/>
        <v>119.812</v>
      </c>
      <c r="K14" s="128">
        <v>22.30054</v>
      </c>
      <c r="L14" s="132">
        <f t="shared" si="6"/>
        <v>165.21243730599122</v>
      </c>
      <c r="M14" s="108"/>
      <c r="O14" s="132">
        <f t="shared" si="4"/>
        <v>10.708103993027285</v>
      </c>
    </row>
    <row r="15" spans="2:15" s="109" customFormat="1" ht="12.75">
      <c r="B15" s="114">
        <f t="shared" si="5"/>
        <v>10</v>
      </c>
      <c r="C15" s="118" t="s">
        <v>30</v>
      </c>
      <c r="D15" s="91">
        <v>5.837</v>
      </c>
      <c r="E15" s="91">
        <v>0.09833</v>
      </c>
      <c r="F15" s="91">
        <f t="shared" si="2"/>
        <v>2.7644082091650266</v>
      </c>
      <c r="G15" s="97">
        <f t="shared" si="0"/>
        <v>5.73867</v>
      </c>
      <c r="H15" s="103">
        <f>2.28-E15</f>
        <v>2.18167</v>
      </c>
      <c r="I15" s="103">
        <f t="shared" si="1"/>
        <v>61.334551588417206</v>
      </c>
      <c r="J15" s="103">
        <f t="shared" si="3"/>
        <v>3.557</v>
      </c>
      <c r="K15" s="128">
        <v>0.85054</v>
      </c>
      <c r="L15" s="132">
        <f t="shared" si="6"/>
        <v>145.71526469076582</v>
      </c>
      <c r="M15" s="108"/>
      <c r="O15" s="132">
        <f t="shared" si="4"/>
        <v>38.01699696968113</v>
      </c>
    </row>
    <row r="16" spans="2:15" s="109" customFormat="1" ht="12.75">
      <c r="B16" s="114">
        <f t="shared" si="5"/>
        <v>11</v>
      </c>
      <c r="C16" s="73" t="s">
        <v>9</v>
      </c>
      <c r="D16" s="91">
        <v>0.281</v>
      </c>
      <c r="E16" s="91">
        <v>0.00605</v>
      </c>
      <c r="F16" s="91">
        <f t="shared" si="2"/>
        <v>3.980263157894736</v>
      </c>
      <c r="G16" s="97">
        <f t="shared" si="0"/>
        <v>0.27495</v>
      </c>
      <c r="H16" s="103">
        <f>0.129-E16</f>
        <v>0.12295</v>
      </c>
      <c r="I16" s="103">
        <f t="shared" si="1"/>
        <v>80.88815789473684</v>
      </c>
      <c r="J16" s="103">
        <f t="shared" si="3"/>
        <v>0.15200000000000002</v>
      </c>
      <c r="K16" s="128">
        <v>0.05335</v>
      </c>
      <c r="L16" s="132">
        <f t="shared" si="6"/>
        <v>189.8576512455516</v>
      </c>
      <c r="M16" s="108"/>
      <c r="O16" s="132">
        <f t="shared" si="4"/>
        <v>44.71722131296599</v>
      </c>
    </row>
    <row r="17" spans="2:15" s="119" customFormat="1" ht="12.75">
      <c r="B17" s="114">
        <f t="shared" si="5"/>
        <v>12</v>
      </c>
      <c r="C17" s="73" t="s">
        <v>18</v>
      </c>
      <c r="D17" s="91">
        <v>0.708</v>
      </c>
      <c r="E17" s="91">
        <v>0.00489</v>
      </c>
      <c r="F17" s="91">
        <f t="shared" si="2"/>
        <v>0.9780000000000001</v>
      </c>
      <c r="G17" s="97">
        <f t="shared" si="0"/>
        <v>0.70311</v>
      </c>
      <c r="H17" s="103">
        <f>0.208-E17</f>
        <v>0.20310999999999998</v>
      </c>
      <c r="I17" s="103">
        <f t="shared" si="1"/>
        <v>40.622</v>
      </c>
      <c r="J17" s="103">
        <f t="shared" si="3"/>
        <v>0.5</v>
      </c>
      <c r="K17" s="128">
        <v>0.11821</v>
      </c>
      <c r="L17" s="132">
        <f t="shared" si="6"/>
        <v>166.9632768361582</v>
      </c>
      <c r="M17" s="108"/>
      <c r="O17" s="132">
        <f t="shared" si="4"/>
        <v>28.8873718194877</v>
      </c>
    </row>
    <row r="18" spans="2:15" s="109" customFormat="1" ht="12.75">
      <c r="B18" s="114">
        <f t="shared" si="5"/>
        <v>13</v>
      </c>
      <c r="C18" s="120" t="s">
        <v>22</v>
      </c>
      <c r="D18" s="91">
        <v>0.163</v>
      </c>
      <c r="E18" s="91">
        <v>0.00125</v>
      </c>
      <c r="F18" s="91">
        <f t="shared" si="2"/>
        <v>0.9398496240601504</v>
      </c>
      <c r="G18" s="97">
        <f t="shared" si="0"/>
        <v>0.16175</v>
      </c>
      <c r="H18" s="103">
        <f>0.03-E18</f>
        <v>0.028749999999999998</v>
      </c>
      <c r="I18" s="103">
        <f t="shared" si="1"/>
        <v>21.616541353383457</v>
      </c>
      <c r="J18" s="103">
        <f t="shared" si="3"/>
        <v>0.133</v>
      </c>
      <c r="K18" s="128">
        <v>0.02651</v>
      </c>
      <c r="L18" s="132">
        <f t="shared" si="6"/>
        <v>162.63803680981596</v>
      </c>
      <c r="M18" s="108"/>
      <c r="O18" s="132">
        <f t="shared" si="4"/>
        <v>17.774343122102007</v>
      </c>
    </row>
    <row r="19" spans="2:15" s="109" customFormat="1" ht="12.75">
      <c r="B19" s="114">
        <f t="shared" si="5"/>
        <v>14</v>
      </c>
      <c r="C19" s="121" t="s">
        <v>35</v>
      </c>
      <c r="D19" s="91">
        <v>5.617</v>
      </c>
      <c r="E19" s="91">
        <v>0.02011</v>
      </c>
      <c r="F19" s="91">
        <f t="shared" si="2"/>
        <v>0.4625114995400183</v>
      </c>
      <c r="G19" s="97">
        <f t="shared" si="0"/>
        <v>5.59689</v>
      </c>
      <c r="H19" s="103">
        <f>1.269-E19</f>
        <v>1.2488899999999998</v>
      </c>
      <c r="I19" s="103">
        <f t="shared" si="1"/>
        <v>28.723321067157304</v>
      </c>
      <c r="J19" s="103">
        <f>G19-H19</f>
        <v>4.348000000000001</v>
      </c>
      <c r="K19" s="128">
        <v>0.89084</v>
      </c>
      <c r="L19" s="132">
        <f t="shared" si="6"/>
        <v>158.59711589816627</v>
      </c>
      <c r="M19" s="108"/>
      <c r="O19" s="132">
        <f t="shared" si="4"/>
        <v>22.313999381799533</v>
      </c>
    </row>
    <row r="20" spans="2:15" s="109" customFormat="1" ht="12.75">
      <c r="B20" s="114">
        <f t="shared" si="5"/>
        <v>15</v>
      </c>
      <c r="C20" s="122" t="s">
        <v>33</v>
      </c>
      <c r="D20" s="123">
        <v>0.649</v>
      </c>
      <c r="E20" s="123">
        <v>0.00138</v>
      </c>
      <c r="F20" s="123">
        <f t="shared" si="2"/>
        <v>0.27218934911242604</v>
      </c>
      <c r="G20" s="98">
        <f t="shared" si="0"/>
        <v>0.64762</v>
      </c>
      <c r="H20" s="124">
        <f>0.142-E20</f>
        <v>0.14062</v>
      </c>
      <c r="I20" s="124">
        <f t="shared" si="1"/>
        <v>27.735700197238657</v>
      </c>
      <c r="J20" s="124">
        <f t="shared" si="3"/>
        <v>0.507</v>
      </c>
      <c r="K20" s="129">
        <v>0.09372</v>
      </c>
      <c r="L20" s="132">
        <f t="shared" si="6"/>
        <v>144.40677966101694</v>
      </c>
      <c r="M20" s="108"/>
      <c r="O20" s="132">
        <f t="shared" si="4"/>
        <v>21.7133504215435</v>
      </c>
    </row>
    <row r="21" spans="2:15" s="109" customFormat="1" ht="12.75">
      <c r="B21" s="114">
        <f t="shared" si="5"/>
        <v>16</v>
      </c>
      <c r="C21" s="73" t="s">
        <v>15</v>
      </c>
      <c r="D21" s="91">
        <v>1.376</v>
      </c>
      <c r="E21" s="91">
        <v>0.00818</v>
      </c>
      <c r="F21" s="91">
        <f t="shared" si="2"/>
        <v>0.6885521885521887</v>
      </c>
      <c r="G21" s="97">
        <f t="shared" si="0"/>
        <v>1.3678199999999998</v>
      </c>
      <c r="H21" s="103">
        <f>0.188-E21</f>
        <v>0.17982</v>
      </c>
      <c r="I21" s="103">
        <f t="shared" si="1"/>
        <v>15.13636363636364</v>
      </c>
      <c r="J21" s="103">
        <f t="shared" si="3"/>
        <v>1.1879999999999997</v>
      </c>
      <c r="K21" s="128">
        <v>0.24454</v>
      </c>
      <c r="L21" s="132">
        <f t="shared" si="6"/>
        <v>177.718023255814</v>
      </c>
      <c r="M21" s="108"/>
      <c r="O21" s="132">
        <f t="shared" si="4"/>
        <v>13.146466640347418</v>
      </c>
    </row>
    <row r="22" spans="2:15" s="109" customFormat="1" ht="12.75">
      <c r="B22" s="114">
        <f t="shared" si="5"/>
        <v>17</v>
      </c>
      <c r="C22" s="118" t="s">
        <v>26</v>
      </c>
      <c r="D22" s="91">
        <v>8.335</v>
      </c>
      <c r="E22" s="91">
        <v>0.06453</v>
      </c>
      <c r="F22" s="91">
        <f t="shared" si="2"/>
        <v>1.158943965517241</v>
      </c>
      <c r="G22" s="97">
        <f t="shared" si="0"/>
        <v>8.270470000000001</v>
      </c>
      <c r="H22" s="103">
        <f>2.767-E22</f>
        <v>2.70247</v>
      </c>
      <c r="I22" s="103">
        <f t="shared" si="1"/>
        <v>48.53573994252872</v>
      </c>
      <c r="J22" s="103">
        <f>G22-H22</f>
        <v>5.568000000000001</v>
      </c>
      <c r="K22" s="128">
        <v>1.49554</v>
      </c>
      <c r="L22" s="132">
        <f t="shared" si="6"/>
        <v>179.42891421715657</v>
      </c>
      <c r="M22" s="108"/>
      <c r="O22" s="132">
        <f t="shared" si="4"/>
        <v>32.67613569724574</v>
      </c>
    </row>
    <row r="23" spans="2:15" s="109" customFormat="1" ht="12.75">
      <c r="B23" s="114">
        <f t="shared" si="5"/>
        <v>18</v>
      </c>
      <c r="C23" s="118" t="s">
        <v>29</v>
      </c>
      <c r="D23" s="91">
        <v>5.091</v>
      </c>
      <c r="E23" s="91">
        <v>0.04574</v>
      </c>
      <c r="F23" s="91">
        <f t="shared" si="2"/>
        <v>1.1644602851323829</v>
      </c>
      <c r="G23" s="97">
        <f t="shared" si="0"/>
        <v>5.04526</v>
      </c>
      <c r="H23" s="103">
        <f>1.163-E23</f>
        <v>1.11726</v>
      </c>
      <c r="I23" s="103">
        <f t="shared" si="1"/>
        <v>28.443482688391036</v>
      </c>
      <c r="J23" s="103">
        <f t="shared" si="3"/>
        <v>3.928</v>
      </c>
      <c r="K23" s="128">
        <v>0.83877</v>
      </c>
      <c r="L23" s="132">
        <f t="shared" si="6"/>
        <v>164.7554507955215</v>
      </c>
      <c r="M23" s="108"/>
      <c r="O23" s="132">
        <f t="shared" si="4"/>
        <v>22.144745761368096</v>
      </c>
    </row>
    <row r="24" spans="2:15" s="109" customFormat="1" ht="12.75">
      <c r="B24" s="114">
        <f t="shared" si="5"/>
        <v>19</v>
      </c>
      <c r="C24" s="73" t="s">
        <v>19</v>
      </c>
      <c r="D24" s="91">
        <v>2.754</v>
      </c>
      <c r="E24" s="91">
        <v>0.01245</v>
      </c>
      <c r="F24" s="91">
        <f t="shared" si="2"/>
        <v>0.5096193205075726</v>
      </c>
      <c r="G24" s="97">
        <f t="shared" si="0"/>
        <v>2.74155</v>
      </c>
      <c r="H24" s="103">
        <f>0.311-E24</f>
        <v>0.29855</v>
      </c>
      <c r="I24" s="103">
        <f t="shared" si="1"/>
        <v>12.220630372492835</v>
      </c>
      <c r="J24" s="103">
        <f t="shared" si="3"/>
        <v>2.443</v>
      </c>
      <c r="K24" s="128">
        <v>0.57875</v>
      </c>
      <c r="L24" s="132">
        <f t="shared" si="6"/>
        <v>210.14887436456064</v>
      </c>
      <c r="M24" s="108"/>
      <c r="O24" s="132">
        <f t="shared" si="4"/>
        <v>10.88982509894038</v>
      </c>
    </row>
    <row r="25" spans="2:15" s="109" customFormat="1" ht="12.75">
      <c r="B25" s="114">
        <f t="shared" si="5"/>
        <v>20</v>
      </c>
      <c r="C25" s="73" t="s">
        <v>10</v>
      </c>
      <c r="D25" s="91">
        <v>1.839</v>
      </c>
      <c r="E25" s="91">
        <v>0.0029</v>
      </c>
      <c r="F25" s="91">
        <f t="shared" si="2"/>
        <v>0.20908435472242248</v>
      </c>
      <c r="G25" s="97">
        <f t="shared" si="0"/>
        <v>1.8361</v>
      </c>
      <c r="H25" s="103">
        <f>0.452-E25</f>
        <v>0.4491</v>
      </c>
      <c r="I25" s="103">
        <f t="shared" si="1"/>
        <v>32.37923576063446</v>
      </c>
      <c r="J25" s="103">
        <f t="shared" si="3"/>
        <v>1.387</v>
      </c>
      <c r="K25" s="128">
        <v>0.29275</v>
      </c>
      <c r="L25" s="132">
        <f t="shared" si="6"/>
        <v>159.18977705274605</v>
      </c>
      <c r="M25" s="108"/>
      <c r="O25" s="132">
        <f t="shared" si="4"/>
        <v>24.459452099558845</v>
      </c>
    </row>
    <row r="26" spans="2:15" s="109" customFormat="1" ht="12.75">
      <c r="B26" s="114">
        <f t="shared" si="5"/>
        <v>21</v>
      </c>
      <c r="C26" s="73" t="s">
        <v>12</v>
      </c>
      <c r="D26" s="91">
        <v>0.493</v>
      </c>
      <c r="E26" s="91">
        <v>0.00109</v>
      </c>
      <c r="F26" s="91">
        <f t="shared" si="2"/>
        <v>0.23191489361702125</v>
      </c>
      <c r="G26" s="97">
        <f t="shared" si="0"/>
        <v>0.49191</v>
      </c>
      <c r="H26" s="103">
        <f>0.023-E26</f>
        <v>0.02191</v>
      </c>
      <c r="I26" s="103">
        <f t="shared" si="1"/>
        <v>4.6617021276595745</v>
      </c>
      <c r="J26" s="103">
        <f t="shared" si="3"/>
        <v>0.47000000000000003</v>
      </c>
      <c r="K26" s="128">
        <v>0.07156</v>
      </c>
      <c r="L26" s="132">
        <f t="shared" si="6"/>
        <v>145.1521298174442</v>
      </c>
      <c r="M26" s="108"/>
      <c r="O26" s="132">
        <f t="shared" si="4"/>
        <v>4.454066800837551</v>
      </c>
    </row>
    <row r="27" spans="2:15" s="109" customFormat="1" ht="12.75">
      <c r="B27" s="114">
        <f t="shared" si="5"/>
        <v>22</v>
      </c>
      <c r="C27" s="73" t="s">
        <v>20</v>
      </c>
      <c r="D27" s="91">
        <v>0.392</v>
      </c>
      <c r="E27" s="91">
        <v>0.00103</v>
      </c>
      <c r="F27" s="91">
        <f t="shared" si="2"/>
        <v>0.2968299711815562</v>
      </c>
      <c r="G27" s="97">
        <f t="shared" si="0"/>
        <v>0.39097000000000004</v>
      </c>
      <c r="H27" s="103">
        <f>0.045-E27</f>
        <v>0.043969999999999995</v>
      </c>
      <c r="I27" s="103">
        <f t="shared" si="1"/>
        <v>12.671469740634004</v>
      </c>
      <c r="J27" s="103">
        <f t="shared" si="3"/>
        <v>0.34700000000000003</v>
      </c>
      <c r="K27" s="128">
        <v>0.07666</v>
      </c>
      <c r="L27" s="132">
        <f t="shared" si="6"/>
        <v>195.56122448979593</v>
      </c>
      <c r="M27" s="108"/>
      <c r="O27" s="132">
        <f t="shared" si="4"/>
        <v>11.246387190833055</v>
      </c>
    </row>
    <row r="28" spans="2:15" s="109" customFormat="1" ht="12.75">
      <c r="B28" s="114">
        <f t="shared" si="5"/>
        <v>23</v>
      </c>
      <c r="C28" s="73" t="s">
        <v>51</v>
      </c>
      <c r="D28" s="91">
        <v>0.591</v>
      </c>
      <c r="E28" s="91">
        <v>0.00445</v>
      </c>
      <c r="F28" s="91">
        <f t="shared" si="2"/>
        <v>0.9408033826638478</v>
      </c>
      <c r="G28" s="97">
        <f t="shared" si="0"/>
        <v>0.58655</v>
      </c>
      <c r="H28" s="103">
        <f>0.118-E28</f>
        <v>0.11355</v>
      </c>
      <c r="I28" s="103">
        <f t="shared" si="1"/>
        <v>24.006342494714588</v>
      </c>
      <c r="J28" s="103">
        <f t="shared" si="3"/>
        <v>0.47300000000000003</v>
      </c>
      <c r="K28" s="128">
        <v>0.10106</v>
      </c>
      <c r="L28" s="132">
        <f t="shared" si="6"/>
        <v>170.99830795262267</v>
      </c>
      <c r="M28" s="108"/>
      <c r="O28" s="132">
        <f t="shared" si="4"/>
        <v>19.3589634302276</v>
      </c>
    </row>
    <row r="29" spans="2:15" s="109" customFormat="1" ht="12.75">
      <c r="B29" s="114">
        <f t="shared" si="5"/>
        <v>24</v>
      </c>
      <c r="C29" s="73" t="s">
        <v>8</v>
      </c>
      <c r="D29" s="91">
        <v>24.021</v>
      </c>
      <c r="E29" s="91">
        <v>0.13618</v>
      </c>
      <c r="F29" s="91">
        <f t="shared" si="2"/>
        <v>0.7422466888319615</v>
      </c>
      <c r="G29" s="97">
        <f t="shared" si="0"/>
        <v>23.88482</v>
      </c>
      <c r="H29" s="103">
        <f>5.674-E29</f>
        <v>5.53782</v>
      </c>
      <c r="I29" s="103">
        <f t="shared" si="1"/>
        <v>30.183790265438486</v>
      </c>
      <c r="J29" s="103">
        <f t="shared" si="3"/>
        <v>18.347</v>
      </c>
      <c r="K29" s="128">
        <v>4.38432</v>
      </c>
      <c r="L29" s="132">
        <f t="shared" si="6"/>
        <v>182.52029474210065</v>
      </c>
      <c r="M29" s="108"/>
      <c r="O29" s="132">
        <f t="shared" si="4"/>
        <v>23.18552118039826</v>
      </c>
    </row>
    <row r="30" spans="2:15" s="109" customFormat="1" ht="12.75">
      <c r="B30" s="114">
        <f>B29+1</f>
        <v>25</v>
      </c>
      <c r="C30" s="73" t="s">
        <v>7</v>
      </c>
      <c r="D30" s="91">
        <v>9.457</v>
      </c>
      <c r="E30" s="91">
        <v>0.10102</v>
      </c>
      <c r="F30" s="91">
        <f t="shared" si="2"/>
        <v>1.396075179657269</v>
      </c>
      <c r="G30" s="97">
        <f t="shared" si="0"/>
        <v>9.35598</v>
      </c>
      <c r="H30" s="103">
        <f>2.221-E30</f>
        <v>2.11998</v>
      </c>
      <c r="I30" s="103">
        <f t="shared" si="1"/>
        <v>29.297678275290213</v>
      </c>
      <c r="J30" s="103">
        <f t="shared" si="3"/>
        <v>7.236000000000001</v>
      </c>
      <c r="K30" s="128">
        <v>1.64279</v>
      </c>
      <c r="L30" s="132">
        <f t="shared" si="6"/>
        <v>173.7115364280427</v>
      </c>
      <c r="M30" s="108"/>
      <c r="O30" s="132">
        <f t="shared" si="4"/>
        <v>22.659090763340664</v>
      </c>
    </row>
    <row r="31" spans="2:15" s="109" customFormat="1" ht="12.75">
      <c r="B31" s="114">
        <f>B30+1</f>
        <v>26</v>
      </c>
      <c r="C31" s="73" t="s">
        <v>6</v>
      </c>
      <c r="D31" s="91">
        <v>6.836</v>
      </c>
      <c r="E31" s="91">
        <v>0.05747</v>
      </c>
      <c r="F31" s="91">
        <f t="shared" si="2"/>
        <v>1.0024420024420027</v>
      </c>
      <c r="G31" s="97">
        <f t="shared" si="0"/>
        <v>6.77853</v>
      </c>
      <c r="H31" s="103">
        <f>1.103-E31</f>
        <v>1.04553</v>
      </c>
      <c r="I31" s="103">
        <f t="shared" si="1"/>
        <v>18.237048665620094</v>
      </c>
      <c r="J31" s="103">
        <f t="shared" si="3"/>
        <v>5.733</v>
      </c>
      <c r="K31" s="128">
        <v>1.28988</v>
      </c>
      <c r="L31" s="132">
        <f t="shared" si="6"/>
        <v>188.68929198361613</v>
      </c>
      <c r="M31" s="108"/>
      <c r="O31" s="132">
        <f t="shared" si="4"/>
        <v>15.424140632260977</v>
      </c>
    </row>
    <row r="32" spans="2:15" s="109" customFormat="1" ht="12.75">
      <c r="B32" s="114">
        <f aca="true" t="shared" si="7" ref="B32:B38">B31+1</f>
        <v>27</v>
      </c>
      <c r="C32" s="73" t="s">
        <v>17</v>
      </c>
      <c r="D32" s="91">
        <v>0.804</v>
      </c>
      <c r="E32" s="91">
        <v>0.00079</v>
      </c>
      <c r="F32" s="91">
        <f t="shared" si="2"/>
        <v>0.11350574712643677</v>
      </c>
      <c r="G32" s="97">
        <f t="shared" si="0"/>
        <v>0.8032100000000001</v>
      </c>
      <c r="H32" s="103">
        <f>0.108-E32</f>
        <v>0.10721</v>
      </c>
      <c r="I32" s="103">
        <f>H32/J32*100</f>
        <v>15.403735632183906</v>
      </c>
      <c r="J32" s="103">
        <f t="shared" si="3"/>
        <v>0.6960000000000001</v>
      </c>
      <c r="K32" s="128">
        <v>0.13429</v>
      </c>
      <c r="L32" s="132">
        <f t="shared" si="6"/>
        <v>167.02736318407958</v>
      </c>
      <c r="M32" s="108"/>
      <c r="O32" s="132">
        <f t="shared" si="4"/>
        <v>13.347692384307964</v>
      </c>
    </row>
    <row r="33" spans="2:15" s="109" customFormat="1" ht="12.75">
      <c r="B33" s="114">
        <f t="shared" si="7"/>
        <v>28</v>
      </c>
      <c r="C33" s="73" t="s">
        <v>16</v>
      </c>
      <c r="D33" s="91">
        <v>5.585</v>
      </c>
      <c r="E33" s="91">
        <v>0.02389</v>
      </c>
      <c r="F33" s="91">
        <f t="shared" si="2"/>
        <v>0.48301657905378087</v>
      </c>
      <c r="G33" s="97">
        <f t="shared" si="0"/>
        <v>5.56111</v>
      </c>
      <c r="H33" s="103">
        <f>0.639-E33</f>
        <v>0.61511</v>
      </c>
      <c r="I33" s="103">
        <f t="shared" si="1"/>
        <v>12.436514355034372</v>
      </c>
      <c r="J33" s="103">
        <f t="shared" si="3"/>
        <v>4.946</v>
      </c>
      <c r="K33" s="128">
        <v>0.96916</v>
      </c>
      <c r="L33" s="132">
        <f t="shared" si="6"/>
        <v>173.5290957923008</v>
      </c>
      <c r="M33" s="108"/>
      <c r="O33" s="132">
        <f t="shared" si="4"/>
        <v>11.060921290893365</v>
      </c>
    </row>
    <row r="34" spans="2:15" s="109" customFormat="1" ht="12.75">
      <c r="B34" s="114">
        <f t="shared" si="7"/>
        <v>29</v>
      </c>
      <c r="C34" s="73" t="s">
        <v>21</v>
      </c>
      <c r="D34" s="91">
        <v>0.711</v>
      </c>
      <c r="E34" s="91">
        <v>0.00136</v>
      </c>
      <c r="F34" s="91">
        <f t="shared" si="2"/>
        <v>0.1945636623748212</v>
      </c>
      <c r="G34" s="97">
        <f t="shared" si="0"/>
        <v>0.7096399999999999</v>
      </c>
      <c r="H34" s="103">
        <f>0.012-E34</f>
        <v>0.01064</v>
      </c>
      <c r="I34" s="103">
        <f t="shared" si="1"/>
        <v>1.5221745350500717</v>
      </c>
      <c r="J34" s="103">
        <f t="shared" si="3"/>
        <v>0.699</v>
      </c>
      <c r="K34" s="128">
        <v>0.10443</v>
      </c>
      <c r="L34" s="132">
        <f t="shared" si="6"/>
        <v>146.87763713080167</v>
      </c>
      <c r="M34" s="108"/>
      <c r="O34" s="132">
        <f t="shared" si="4"/>
        <v>1.4993517840031567</v>
      </c>
    </row>
    <row r="35" spans="2:15" s="109" customFormat="1" ht="12.75">
      <c r="B35" s="114">
        <f t="shared" si="7"/>
        <v>30</v>
      </c>
      <c r="C35" s="73" t="s">
        <v>13</v>
      </c>
      <c r="D35" s="91">
        <v>2.531</v>
      </c>
      <c r="E35" s="91">
        <v>0.00549</v>
      </c>
      <c r="F35" s="91">
        <f t="shared" si="2"/>
        <v>0.22913188647746244</v>
      </c>
      <c r="G35" s="97">
        <f t="shared" si="0"/>
        <v>2.52551</v>
      </c>
      <c r="H35" s="103">
        <f>0.135-E35</f>
        <v>0.12951000000000001</v>
      </c>
      <c r="I35" s="103">
        <f t="shared" si="1"/>
        <v>5.40525876460768</v>
      </c>
      <c r="J35" s="103">
        <f t="shared" si="3"/>
        <v>2.396</v>
      </c>
      <c r="K35" s="128">
        <v>0.14424</v>
      </c>
      <c r="L35" s="132">
        <f t="shared" si="6"/>
        <v>56.98933227973133</v>
      </c>
      <c r="M35" s="108"/>
      <c r="O35" s="132">
        <f t="shared" si="4"/>
        <v>5.128073141662477</v>
      </c>
    </row>
    <row r="36" spans="2:15" s="109" customFormat="1" ht="12.75">
      <c r="B36" s="114">
        <f>B35+1</f>
        <v>31</v>
      </c>
      <c r="C36" s="73" t="s">
        <v>5</v>
      </c>
      <c r="D36" s="91">
        <v>1.216</v>
      </c>
      <c r="E36" s="91">
        <v>0.02332</v>
      </c>
      <c r="F36" s="91">
        <f t="shared" si="2"/>
        <v>2.2444658325312803</v>
      </c>
      <c r="G36" s="97">
        <f t="shared" si="0"/>
        <v>1.19268</v>
      </c>
      <c r="H36" s="103">
        <f>0.177-E36</f>
        <v>0.15367999999999998</v>
      </c>
      <c r="I36" s="103">
        <f t="shared" si="1"/>
        <v>14.791145332050048</v>
      </c>
      <c r="J36" s="103">
        <f t="shared" si="3"/>
        <v>1.039</v>
      </c>
      <c r="K36" s="128">
        <v>0.22616</v>
      </c>
      <c r="L36" s="132">
        <f t="shared" si="6"/>
        <v>185.98684210526318</v>
      </c>
      <c r="M36" s="108"/>
      <c r="O36" s="132">
        <f t="shared" si="4"/>
        <v>12.885266794110741</v>
      </c>
    </row>
    <row r="37" spans="2:15" s="109" customFormat="1" ht="12.75">
      <c r="B37" s="114">
        <f t="shared" si="7"/>
        <v>32</v>
      </c>
      <c r="C37" s="117" t="s">
        <v>2</v>
      </c>
      <c r="D37" s="91">
        <v>177.032</v>
      </c>
      <c r="E37" s="91">
        <v>0.39473</v>
      </c>
      <c r="F37" s="91">
        <f t="shared" si="2"/>
        <v>0.29457462686567165</v>
      </c>
      <c r="G37" s="97">
        <f t="shared" si="0"/>
        <v>176.63727</v>
      </c>
      <c r="H37" s="103">
        <f>43.032-E37</f>
        <v>42.637269999999994</v>
      </c>
      <c r="I37" s="103">
        <f t="shared" si="1"/>
        <v>31.81885820895522</v>
      </c>
      <c r="J37" s="103">
        <f t="shared" si="3"/>
        <v>134</v>
      </c>
      <c r="K37" s="128">
        <v>27.92552</v>
      </c>
      <c r="L37" s="132">
        <f t="shared" si="6"/>
        <v>157.742780966153</v>
      </c>
      <c r="M37" s="108"/>
      <c r="O37" s="132">
        <f t="shared" si="4"/>
        <v>24.138320298994653</v>
      </c>
    </row>
    <row r="38" spans="2:15" s="109" customFormat="1" ht="12.75">
      <c r="B38" s="114">
        <f t="shared" si="7"/>
        <v>33</v>
      </c>
      <c r="C38" s="73" t="s">
        <v>40</v>
      </c>
      <c r="D38" s="91">
        <v>0.178</v>
      </c>
      <c r="E38" s="91">
        <v>0.00063</v>
      </c>
      <c r="F38" s="91">
        <f t="shared" si="2"/>
        <v>0.4012738853503185</v>
      </c>
      <c r="G38" s="97">
        <f t="shared" si="0"/>
        <v>0.17737</v>
      </c>
      <c r="H38" s="103">
        <f>0.021-E38</f>
        <v>0.020370000000000003</v>
      </c>
      <c r="I38" s="103">
        <f t="shared" si="1"/>
        <v>12.974522292993631</v>
      </c>
      <c r="J38" s="103">
        <f t="shared" si="3"/>
        <v>0.157</v>
      </c>
      <c r="K38" s="128">
        <v>0.02563</v>
      </c>
      <c r="L38" s="132">
        <f t="shared" si="6"/>
        <v>143.98876404494382</v>
      </c>
      <c r="M38" s="108"/>
      <c r="O38" s="132">
        <f t="shared" si="4"/>
        <v>11.484467497321983</v>
      </c>
    </row>
    <row r="39" spans="2:15" s="109" customFormat="1" ht="12.75">
      <c r="B39" s="125">
        <f>B38+1</f>
        <v>34</v>
      </c>
      <c r="C39" s="118" t="s">
        <v>34</v>
      </c>
      <c r="D39" s="91">
        <v>1.521</v>
      </c>
      <c r="E39" s="91">
        <v>0.00676</v>
      </c>
      <c r="F39" s="91">
        <f t="shared" si="2"/>
        <v>0.5101886792452831</v>
      </c>
      <c r="G39" s="97">
        <f t="shared" si="0"/>
        <v>1.5142399999999998</v>
      </c>
      <c r="H39" s="103">
        <f>0.196-E39</f>
        <v>0.18924000000000002</v>
      </c>
      <c r="I39" s="103">
        <f t="shared" si="1"/>
        <v>14.2822641509434</v>
      </c>
      <c r="J39" s="103">
        <f t="shared" si="3"/>
        <v>1.3249999999999997</v>
      </c>
      <c r="K39" s="128">
        <v>0.30212</v>
      </c>
      <c r="L39" s="132">
        <f t="shared" si="6"/>
        <v>198.63247863247867</v>
      </c>
      <c r="M39" s="108"/>
      <c r="O39" s="132">
        <f t="shared" si="4"/>
        <v>12.497358410819952</v>
      </c>
    </row>
    <row r="40" spans="2:15" s="109" customFormat="1" ht="12.75">
      <c r="B40" s="134">
        <v>35</v>
      </c>
      <c r="C40" s="118" t="s">
        <v>55</v>
      </c>
      <c r="D40" s="91">
        <v>16.6395</v>
      </c>
      <c r="E40" s="91">
        <v>0.03873</v>
      </c>
      <c r="F40" s="91">
        <f>E40/J40*100</f>
        <v>0.2662805495568522</v>
      </c>
      <c r="G40" s="97">
        <f>D40-E40</f>
        <v>16.60077</v>
      </c>
      <c r="H40" s="103">
        <f>2.095-E40</f>
        <v>2.05627</v>
      </c>
      <c r="I40" s="103">
        <f>H40/J40*100</f>
        <v>14.137482717202907</v>
      </c>
      <c r="J40" s="103">
        <v>14.54481</v>
      </c>
      <c r="K40" s="128">
        <v>2.75821</v>
      </c>
      <c r="L40" s="132">
        <f>K40/D40*1000</f>
        <v>165.76279335316565</v>
      </c>
      <c r="M40" s="108"/>
      <c r="O40" s="132"/>
    </row>
    <row r="41" spans="2:15" s="109" customFormat="1" ht="13.5" thickBot="1">
      <c r="B41" s="126">
        <v>36</v>
      </c>
      <c r="C41" s="92" t="s">
        <v>54</v>
      </c>
      <c r="D41" s="93">
        <f>10.902+0.614</f>
        <v>11.516</v>
      </c>
      <c r="E41" s="93">
        <v>0</v>
      </c>
      <c r="F41" s="93">
        <f t="shared" si="2"/>
        <v>0</v>
      </c>
      <c r="G41" s="93">
        <f t="shared" si="0"/>
        <v>11.516</v>
      </c>
      <c r="H41" s="93">
        <v>0</v>
      </c>
      <c r="I41" s="93">
        <f t="shared" si="1"/>
        <v>0</v>
      </c>
      <c r="J41" s="93">
        <f t="shared" si="3"/>
        <v>11.516</v>
      </c>
      <c r="K41" s="93">
        <v>1.90259</v>
      </c>
      <c r="L41" s="133">
        <f t="shared" si="6"/>
        <v>165.21274748176452</v>
      </c>
      <c r="M41" s="108"/>
      <c r="O41" s="133">
        <f t="shared" si="4"/>
        <v>0</v>
      </c>
    </row>
    <row r="42" ht="12.75">
      <c r="O42" s="46"/>
    </row>
    <row r="43" spans="4:15" ht="13.5" thickBot="1">
      <c r="D43" s="136"/>
      <c r="E43" s="136"/>
      <c r="F43" s="136"/>
      <c r="G43" s="136"/>
      <c r="H43" s="137"/>
      <c r="I43" s="138"/>
      <c r="J43" s="138"/>
      <c r="K43" s="138"/>
      <c r="L43" s="138"/>
      <c r="O43" s="47"/>
    </row>
    <row r="44" spans="2:15" s="25" customFormat="1" ht="13.5" thickBot="1">
      <c r="B44" s="26" t="s">
        <v>23</v>
      </c>
      <c r="C44" s="35"/>
      <c r="D44" s="99">
        <f>SUM(D6:D43)</f>
        <v>451.0325</v>
      </c>
      <c r="E44" s="99">
        <f aca="true" t="shared" si="8" ref="E44:K44">SUM(E6:E43)</f>
        <v>2.0756300000000003</v>
      </c>
      <c r="F44" s="139">
        <f>E44/J44*100</f>
        <v>0.5662660111542098</v>
      </c>
      <c r="G44" s="99">
        <f t="shared" si="8"/>
        <v>448.9568699999999</v>
      </c>
      <c r="H44" s="99">
        <f>SUM(H6:H43)</f>
        <v>82.41036999999999</v>
      </c>
      <c r="I44" s="140">
        <f>H44/J44*100</f>
        <v>22.482904707314187</v>
      </c>
      <c r="J44" s="99">
        <f t="shared" si="8"/>
        <v>366.54681</v>
      </c>
      <c r="K44" s="99">
        <f t="shared" si="8"/>
        <v>73.95560000000002</v>
      </c>
      <c r="L44" s="141">
        <f>K44/D44*1000</f>
        <v>163.96955873468102</v>
      </c>
      <c r="M44" s="33"/>
      <c r="O44" s="135">
        <f t="shared" si="4"/>
        <v>18.355965908261968</v>
      </c>
    </row>
    <row r="45" spans="2:15" s="30" customFormat="1" ht="12.75">
      <c r="B45" s="20"/>
      <c r="C45" s="36"/>
      <c r="D45" s="100"/>
      <c r="E45" s="100"/>
      <c r="F45" s="100"/>
      <c r="G45" s="100"/>
      <c r="H45" s="100"/>
      <c r="I45" s="49"/>
      <c r="J45" s="49"/>
      <c r="K45" s="49"/>
      <c r="L45" s="49"/>
      <c r="M45" s="31"/>
      <c r="O45" s="32"/>
    </row>
    <row r="46" spans="1:2" ht="12.75">
      <c r="A46" s="19"/>
      <c r="B46" s="19"/>
    </row>
    <row r="47" spans="1:19" ht="12.75">
      <c r="A47" s="19"/>
      <c r="B47" s="19"/>
      <c r="S47" s="40"/>
    </row>
    <row r="48" spans="1:2" ht="12.75">
      <c r="A48" s="19"/>
      <c r="B48" s="19"/>
    </row>
    <row r="49" spans="1:13" ht="1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21"/>
    </row>
    <row r="50" spans="1:13" ht="15.75">
      <c r="A50" s="37"/>
      <c r="B50" s="37"/>
      <c r="C50" s="37"/>
      <c r="D50" s="37"/>
      <c r="E50" s="37"/>
      <c r="F50" s="37"/>
      <c r="G50" s="37"/>
      <c r="H50" s="37"/>
      <c r="I50" s="50"/>
      <c r="J50" s="50"/>
      <c r="K50" s="50"/>
      <c r="L50" s="50"/>
      <c r="M50" s="21"/>
    </row>
    <row r="51" spans="1:13" ht="15.75">
      <c r="A51" s="37"/>
      <c r="B51" s="37"/>
      <c r="C51" s="37"/>
      <c r="D51" s="37"/>
      <c r="E51" s="37"/>
      <c r="F51" s="37"/>
      <c r="G51" s="37"/>
      <c r="H51" s="37"/>
      <c r="I51" s="50"/>
      <c r="J51" s="50"/>
      <c r="K51" s="50"/>
      <c r="L51" s="50"/>
      <c r="M51" s="21"/>
    </row>
    <row r="52" spans="1:13" ht="15.75">
      <c r="A52" s="37"/>
      <c r="B52" s="37"/>
      <c r="C52" s="37"/>
      <c r="D52" s="37"/>
      <c r="E52" s="37"/>
      <c r="F52" s="37"/>
      <c r="G52" s="37"/>
      <c r="H52" s="37"/>
      <c r="I52" s="50"/>
      <c r="J52" s="50"/>
      <c r="K52" s="50"/>
      <c r="L52" s="50"/>
      <c r="M52" s="21"/>
    </row>
    <row r="53" spans="1:13" ht="15.75">
      <c r="A53" s="37"/>
      <c r="B53" s="37"/>
      <c r="C53" s="37"/>
      <c r="D53" s="37"/>
      <c r="E53" s="37"/>
      <c r="F53" s="37"/>
      <c r="G53" s="37"/>
      <c r="H53" s="37"/>
      <c r="I53" s="50"/>
      <c r="J53" s="50"/>
      <c r="K53" s="50"/>
      <c r="L53" s="50"/>
      <c r="M53" s="21"/>
    </row>
    <row r="54" spans="1:13" ht="15.75">
      <c r="A54" s="37"/>
      <c r="B54" s="37"/>
      <c r="C54" s="37"/>
      <c r="D54" s="37"/>
      <c r="E54" s="37"/>
      <c r="F54" s="37"/>
      <c r="G54" s="37"/>
      <c r="H54" s="37"/>
      <c r="I54" s="50"/>
      <c r="J54" s="50"/>
      <c r="K54" s="50"/>
      <c r="L54" s="50"/>
      <c r="M54" s="21"/>
    </row>
    <row r="55" spans="1:13" ht="15.75">
      <c r="A55" s="37"/>
      <c r="B55" s="37"/>
      <c r="C55" s="37"/>
      <c r="D55" s="37"/>
      <c r="E55" s="37"/>
      <c r="F55" s="37"/>
      <c r="G55" s="37"/>
      <c r="H55" s="37"/>
      <c r="I55" s="50"/>
      <c r="J55" s="50"/>
      <c r="K55" s="50"/>
      <c r="L55" s="50"/>
      <c r="M55" s="21"/>
    </row>
    <row r="56" spans="1:13" ht="15.75">
      <c r="A56" s="37"/>
      <c r="B56" s="37"/>
      <c r="C56" s="37"/>
      <c r="D56" s="37"/>
      <c r="E56" s="37"/>
      <c r="F56" s="37"/>
      <c r="G56" s="37"/>
      <c r="H56" s="37"/>
      <c r="I56" s="50"/>
      <c r="J56" s="50"/>
      <c r="K56" s="50"/>
      <c r="L56" s="50"/>
      <c r="M56" s="21"/>
    </row>
    <row r="57" spans="1:13" ht="15.75">
      <c r="A57" s="37"/>
      <c r="B57" s="37"/>
      <c r="C57" s="37"/>
      <c r="D57" s="37"/>
      <c r="E57" s="37"/>
      <c r="F57" s="37"/>
      <c r="G57" s="37"/>
      <c r="H57" s="37"/>
      <c r="I57" s="50"/>
      <c r="J57" s="50"/>
      <c r="K57" s="50"/>
      <c r="L57" s="50"/>
      <c r="M57" s="21"/>
    </row>
    <row r="58" spans="1:13" ht="15.75">
      <c r="A58" s="37"/>
      <c r="B58" s="37"/>
      <c r="C58" s="37"/>
      <c r="D58" s="37"/>
      <c r="E58" s="37"/>
      <c r="F58" s="37"/>
      <c r="G58" s="37"/>
      <c r="H58" s="37"/>
      <c r="I58" s="50"/>
      <c r="J58" s="50"/>
      <c r="K58" s="50"/>
      <c r="L58" s="50"/>
      <c r="M58" s="21"/>
    </row>
    <row r="59" spans="1:13" ht="15.75">
      <c r="A59" s="37"/>
      <c r="B59" s="41"/>
      <c r="C59" s="41"/>
      <c r="D59" s="101"/>
      <c r="E59" s="101"/>
      <c r="F59" s="101"/>
      <c r="G59" s="101"/>
      <c r="H59" s="101"/>
      <c r="I59" s="51"/>
      <c r="J59" s="51"/>
      <c r="K59" s="51"/>
      <c r="L59" s="51"/>
      <c r="M59" s="21"/>
    </row>
    <row r="60" spans="2:12" ht="12.75">
      <c r="B60" s="42"/>
      <c r="C60" s="43"/>
      <c r="D60" s="102"/>
      <c r="E60" s="102"/>
      <c r="F60" s="102"/>
      <c r="G60" s="102"/>
      <c r="H60" s="102"/>
      <c r="I60" s="52"/>
      <c r="J60" s="52"/>
      <c r="K60" s="52"/>
      <c r="L60" s="52"/>
    </row>
  </sheetData>
  <sheetProtection selectLockedCells="1" selectUnlockedCells="1"/>
  <mergeCells count="1">
    <mergeCell ref="A49:L49"/>
  </mergeCells>
  <printOptions horizontalCentered="1"/>
  <pageMargins left="0.1968503937007874" right="0.1968503937007874" top="0.7874015748031497" bottom="0.0787401574803149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7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13.375" style="1" customWidth="1"/>
    <col min="2" max="2" width="16.625" style="1" customWidth="1"/>
  </cols>
  <sheetData>
    <row r="2" spans="1:2" ht="51">
      <c r="A2" s="2" t="s">
        <v>0</v>
      </c>
      <c r="B2" s="3" t="s">
        <v>1</v>
      </c>
    </row>
    <row r="3" spans="1:2" ht="12.75">
      <c r="A3" s="4">
        <v>60</v>
      </c>
      <c r="B3" s="5">
        <v>238.1</v>
      </c>
    </row>
    <row r="4" spans="1:2" ht="12.75">
      <c r="A4" s="6">
        <v>62</v>
      </c>
      <c r="B4" s="7">
        <v>230.41</v>
      </c>
    </row>
    <row r="5" spans="1:2" ht="12.75">
      <c r="A5" s="6">
        <v>64</v>
      </c>
      <c r="B5" s="7">
        <v>223.21</v>
      </c>
    </row>
    <row r="6" spans="1:2" ht="12.75">
      <c r="A6" s="6">
        <v>66</v>
      </c>
      <c r="B6" s="7">
        <v>216.45</v>
      </c>
    </row>
    <row r="7" spans="1:2" ht="12.75">
      <c r="A7" s="6">
        <v>68</v>
      </c>
      <c r="B7" s="7">
        <v>210.08</v>
      </c>
    </row>
    <row r="8" spans="1:2" ht="12.75">
      <c r="A8" s="6">
        <v>70</v>
      </c>
      <c r="B8" s="7">
        <v>204.08</v>
      </c>
    </row>
    <row r="9" spans="1:2" ht="12.75">
      <c r="A9" s="6">
        <v>72</v>
      </c>
      <c r="B9" s="7">
        <v>198.41</v>
      </c>
    </row>
    <row r="10" spans="1:2" ht="12.75">
      <c r="A10" s="6">
        <v>74</v>
      </c>
      <c r="B10" s="7">
        <v>193.05</v>
      </c>
    </row>
    <row r="11" spans="1:2" ht="12.75">
      <c r="A11" s="6">
        <v>76</v>
      </c>
      <c r="B11" s="7">
        <v>187.97</v>
      </c>
    </row>
    <row r="12" spans="1:2" ht="12.75">
      <c r="A12" s="6">
        <v>78</v>
      </c>
      <c r="B12" s="7">
        <v>183.15</v>
      </c>
    </row>
    <row r="13" spans="1:2" ht="12.75">
      <c r="A13" s="6">
        <v>80</v>
      </c>
      <c r="B13" s="7">
        <v>178.57</v>
      </c>
    </row>
    <row r="14" spans="1:2" ht="12.75">
      <c r="A14" s="8">
        <v>81</v>
      </c>
      <c r="B14" s="9">
        <f>B13-((A14-A13)*(B13-B15)/(A15-A13))</f>
        <v>176.39499999999998</v>
      </c>
    </row>
    <row r="15" spans="1:2" ht="12.75">
      <c r="A15" s="6">
        <v>82</v>
      </c>
      <c r="B15" s="7">
        <v>174.22</v>
      </c>
    </row>
    <row r="16" spans="1:2" ht="12.75">
      <c r="A16" s="8">
        <v>82.5</v>
      </c>
      <c r="B16" s="9">
        <f>B15-((A16-A15)*(B15-B18)/(A18-A15))</f>
        <v>173.1825</v>
      </c>
    </row>
    <row r="17" spans="1:2" ht="12.75">
      <c r="A17" s="10">
        <v>83.75</v>
      </c>
      <c r="B17" s="9">
        <f>B15-((A17-A15)*(B15-B18)/(A18-A15))</f>
        <v>170.58875</v>
      </c>
    </row>
    <row r="18" spans="1:2" ht="12.75">
      <c r="A18" s="6">
        <v>84</v>
      </c>
      <c r="B18" s="7">
        <v>170.07</v>
      </c>
    </row>
    <row r="19" spans="1:2" ht="12.75">
      <c r="A19" s="8">
        <v>85</v>
      </c>
      <c r="B19" s="9">
        <f>B18-((A19-A18)*(B18-B20)/(A20-A18))</f>
        <v>168.09</v>
      </c>
    </row>
    <row r="20" spans="1:2" ht="12.75">
      <c r="A20" s="6">
        <v>86</v>
      </c>
      <c r="B20" s="7">
        <v>166.11</v>
      </c>
    </row>
    <row r="21" spans="1:2" ht="12.75">
      <c r="A21" s="8">
        <v>86.1</v>
      </c>
      <c r="B21" s="9">
        <f>B19-((A21-A19)*(B19-B24)/(A24-A19))</f>
        <v>165.98166666666668</v>
      </c>
    </row>
    <row r="22" spans="1:2" ht="12.75">
      <c r="A22" s="8">
        <v>86.5</v>
      </c>
      <c r="B22" s="9">
        <f>B20-((A22-A20)*(B20-B24)/(A24-A20))</f>
        <v>165.16750000000002</v>
      </c>
    </row>
    <row r="23" spans="1:2" ht="12.75">
      <c r="A23" s="8">
        <v>87</v>
      </c>
      <c r="B23" s="9">
        <f>B20-((A23-A20)*(B20-B24)/(A24-A20))</f>
        <v>164.22500000000002</v>
      </c>
    </row>
    <row r="24" spans="1:2" ht="12.75">
      <c r="A24" s="6">
        <v>88</v>
      </c>
      <c r="B24" s="7">
        <v>162.34</v>
      </c>
    </row>
    <row r="25" spans="1:2" ht="12.75">
      <c r="A25" s="8">
        <v>89</v>
      </c>
      <c r="B25" s="9">
        <f>B24-((A25-A24)*(B24-B29)/(A29-A24))</f>
        <v>160.535</v>
      </c>
    </row>
    <row r="26" spans="1:2" ht="12.75">
      <c r="A26" s="8">
        <v>89.1</v>
      </c>
      <c r="B26" s="9">
        <f>B24-((A26-A24)*(B24-B29)/(A29-A24))</f>
        <v>160.3545</v>
      </c>
    </row>
    <row r="27" spans="1:2" ht="12.75">
      <c r="A27" s="8">
        <v>89.5</v>
      </c>
      <c r="B27" s="9">
        <f>B24-((A27-A24)*(B24-B29)/(A29-A24))</f>
        <v>159.6325</v>
      </c>
    </row>
    <row r="28" spans="1:2" ht="12.75">
      <c r="A28" s="11">
        <v>89.575</v>
      </c>
      <c r="B28" s="9">
        <f>B24-((A28-A24)*(B24-B29)/(A29-A24))</f>
        <v>159.49712499999998</v>
      </c>
    </row>
    <row r="29" spans="1:2" ht="12.75">
      <c r="A29" s="6">
        <v>90</v>
      </c>
      <c r="B29" s="7">
        <v>158.73</v>
      </c>
    </row>
    <row r="30" spans="1:2" ht="12.75">
      <c r="A30" s="22">
        <v>90.2</v>
      </c>
      <c r="B30" s="9">
        <f>$B$29-((A30-$A$29)*($B$29-$B$40)/($A$40-$A$29))</f>
        <v>158.385</v>
      </c>
    </row>
    <row r="31" spans="1:2" ht="12.75">
      <c r="A31" s="8">
        <v>90.3</v>
      </c>
      <c r="B31" s="9">
        <f>$B$29-((A31-$A$29)*($B$29-$B$40)/($A$40-$A$29))</f>
        <v>158.2125</v>
      </c>
    </row>
    <row r="32" spans="1:2" ht="12.75">
      <c r="A32" s="8">
        <v>90.4</v>
      </c>
      <c r="B32" s="9">
        <f>$B$29-((A32-$A$29)*($B$29-$B$40)/($A$40-$A$29))</f>
        <v>158.04</v>
      </c>
    </row>
    <row r="33" spans="1:2" ht="12.75">
      <c r="A33" s="8">
        <v>90.86</v>
      </c>
      <c r="B33" s="9">
        <f aca="true" t="shared" si="0" ref="B33:B39">$B$29-((A33-$A$29)*($B$29-$B$40)/($A$40-$A$29))</f>
        <v>157.2465</v>
      </c>
    </row>
    <row r="34" spans="1:2" ht="12.75">
      <c r="A34" s="8">
        <v>91</v>
      </c>
      <c r="B34" s="9">
        <f t="shared" si="0"/>
        <v>157.005</v>
      </c>
    </row>
    <row r="35" spans="1:2" ht="12.75">
      <c r="A35" s="8">
        <v>91.2</v>
      </c>
      <c r="B35" s="9">
        <f t="shared" si="0"/>
        <v>156.66</v>
      </c>
    </row>
    <row r="36" spans="1:2" ht="12.75">
      <c r="A36" s="11">
        <v>91.266667</v>
      </c>
      <c r="B36" s="9">
        <f t="shared" si="0"/>
        <v>156.544999425</v>
      </c>
    </row>
    <row r="37" spans="1:2" ht="12.75">
      <c r="A37" s="8">
        <v>91.4</v>
      </c>
      <c r="B37" s="9">
        <f t="shared" si="0"/>
        <v>156.315</v>
      </c>
    </row>
    <row r="38" spans="1:2" ht="12.75">
      <c r="A38" s="8">
        <v>91.6</v>
      </c>
      <c r="B38" s="9">
        <f t="shared" si="0"/>
        <v>155.97</v>
      </c>
    </row>
    <row r="39" spans="1:2" ht="12.75">
      <c r="A39" s="8">
        <v>91.9</v>
      </c>
      <c r="B39" s="9">
        <f t="shared" si="0"/>
        <v>155.4525</v>
      </c>
    </row>
    <row r="40" spans="1:2" ht="12.75">
      <c r="A40" s="6">
        <v>92</v>
      </c>
      <c r="B40" s="7">
        <v>155.28</v>
      </c>
    </row>
    <row r="41" spans="1:2" ht="12.75">
      <c r="A41" s="8">
        <v>93</v>
      </c>
      <c r="B41" s="9">
        <f>B40-((A41-A40)*(B40-B42)/(A42-A40))</f>
        <v>153.62</v>
      </c>
    </row>
    <row r="42" spans="1:2" ht="12.75">
      <c r="A42" s="6">
        <v>94</v>
      </c>
      <c r="B42" s="7">
        <v>151.96</v>
      </c>
    </row>
    <row r="43" spans="1:2" ht="12.75">
      <c r="A43" s="12">
        <v>95</v>
      </c>
      <c r="B43" s="13">
        <v>150.38</v>
      </c>
    </row>
    <row r="44" spans="1:2" ht="12.75">
      <c r="A44" s="14"/>
      <c r="B44" s="14"/>
    </row>
    <row r="45" spans="1:2" ht="12.75">
      <c r="A45" s="14">
        <f>SUM(A3:A43)</f>
        <v>3433.1516669999996</v>
      </c>
      <c r="B45" s="14">
        <f>SUM(B3:B43)</f>
        <v>7099.671041091666</v>
      </c>
    </row>
    <row r="46" spans="1:2" ht="12.75">
      <c r="A46" s="14"/>
      <c r="B46" s="14"/>
    </row>
    <row r="47" spans="1:2" ht="12.75">
      <c r="A47" s="14"/>
      <c r="B47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6" sqref="M6:M39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27.75390625" style="27" customWidth="1"/>
    <col min="4" max="4" width="10.375" style="46" customWidth="1"/>
    <col min="5" max="12" width="12.75390625" style="46" customWidth="1"/>
    <col min="13" max="13" width="10.25390625" style="0" customWidth="1"/>
    <col min="14" max="14" width="1.12109375" style="0" customWidth="1"/>
    <col min="15" max="15" width="9.125" style="15" customWidth="1"/>
  </cols>
  <sheetData>
    <row r="1" ht="12.75">
      <c r="B1" s="16"/>
    </row>
    <row r="2" spans="2:12" ht="14.25">
      <c r="B2" s="54"/>
      <c r="C2" s="54" t="s">
        <v>52</v>
      </c>
      <c r="D2" s="76"/>
      <c r="E2" s="76"/>
      <c r="F2" s="76"/>
      <c r="G2" s="76"/>
      <c r="H2" s="76"/>
      <c r="I2" s="76"/>
      <c r="J2" s="76"/>
      <c r="K2" s="76"/>
      <c r="L2" s="54"/>
    </row>
    <row r="3" ht="13.5" thickBot="1">
      <c r="B3" s="16"/>
    </row>
    <row r="4" spans="2:15" s="28" customFormat="1" ht="105" customHeight="1" thickBot="1">
      <c r="B4" s="44" t="s">
        <v>25</v>
      </c>
      <c r="C4" s="45" t="s">
        <v>24</v>
      </c>
      <c r="D4" s="53" t="s">
        <v>41</v>
      </c>
      <c r="E4" s="53" t="s">
        <v>42</v>
      </c>
      <c r="F4" s="53" t="s">
        <v>43</v>
      </c>
      <c r="G4" s="53" t="s">
        <v>44</v>
      </c>
      <c r="H4" s="53" t="s">
        <v>45</v>
      </c>
      <c r="I4" s="53" t="s">
        <v>46</v>
      </c>
      <c r="J4" s="53" t="s">
        <v>47</v>
      </c>
      <c r="K4" s="53" t="s">
        <v>48</v>
      </c>
      <c r="L4" s="53" t="s">
        <v>49</v>
      </c>
      <c r="O4" s="29"/>
    </row>
    <row r="5" spans="2:15" s="23" customFormat="1" ht="12" thickBot="1">
      <c r="B5" s="55">
        <v>1</v>
      </c>
      <c r="C5" s="63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77">
        <v>9</v>
      </c>
      <c r="K5" s="78">
        <v>10</v>
      </c>
      <c r="L5" s="59">
        <v>11</v>
      </c>
      <c r="O5" s="24"/>
    </row>
    <row r="6" spans="2:15" ht="12.75">
      <c r="B6" s="56">
        <v>1</v>
      </c>
      <c r="C6" s="64" t="s">
        <v>32</v>
      </c>
      <c r="D6" s="79">
        <v>1.1536988</v>
      </c>
      <c r="E6" s="79">
        <v>0.0071018</v>
      </c>
      <c r="F6" s="79">
        <f aca="true" t="shared" si="0" ref="F6:F39">E6/J6*100</f>
        <v>0.6193806542316089</v>
      </c>
      <c r="G6" s="80">
        <f aca="true" t="shared" si="1" ref="G6:G39">D6-E6</f>
        <v>1.1465969999999999</v>
      </c>
      <c r="H6" s="60">
        <v>0</v>
      </c>
      <c r="I6" s="60">
        <f aca="true" t="shared" si="2" ref="I6:I39">H6/J6*100</f>
        <v>0</v>
      </c>
      <c r="J6" s="60">
        <f>G6-H6</f>
        <v>1.1465969999999999</v>
      </c>
      <c r="K6" s="81">
        <v>0.200062908908</v>
      </c>
      <c r="L6" s="60">
        <v>173.41</v>
      </c>
      <c r="M6" s="17">
        <f>K6/D6*1000</f>
        <v>173.41</v>
      </c>
      <c r="O6" s="18"/>
    </row>
    <row r="7" spans="2:15" ht="12.75">
      <c r="B7" s="57">
        <f>B6+1</f>
        <v>2</v>
      </c>
      <c r="C7" s="65" t="s">
        <v>11</v>
      </c>
      <c r="D7" s="82">
        <v>0.48748610000000003</v>
      </c>
      <c r="E7" s="82">
        <v>0.0052221</v>
      </c>
      <c r="F7" s="82">
        <f t="shared" si="0"/>
        <v>1.108269629918887</v>
      </c>
      <c r="G7" s="83">
        <f t="shared" si="1"/>
        <v>0.482264</v>
      </c>
      <c r="H7" s="61">
        <v>0.01107</v>
      </c>
      <c r="I7" s="61">
        <f>H7/J7*100</f>
        <v>2.349350798185036</v>
      </c>
      <c r="J7" s="61">
        <f aca="true" t="shared" si="3" ref="J7:J39">G7-H7</f>
        <v>0.471194</v>
      </c>
      <c r="K7" s="84">
        <v>0.07739329323599999</v>
      </c>
      <c r="L7" s="61">
        <v>158.76</v>
      </c>
      <c r="M7" s="17">
        <f aca="true" t="shared" si="4" ref="M7:M39">K7/D7*1000</f>
        <v>158.75999999999996</v>
      </c>
      <c r="O7" s="18"/>
    </row>
    <row r="8" spans="2:15" ht="12.75">
      <c r="B8" s="57">
        <f>B7+1</f>
        <v>3</v>
      </c>
      <c r="C8" s="66" t="s">
        <v>31</v>
      </c>
      <c r="D8" s="82">
        <v>0.6618119</v>
      </c>
      <c r="E8" s="82">
        <v>0.0050399</v>
      </c>
      <c r="F8" s="82">
        <f t="shared" si="0"/>
        <v>0.7673743704055592</v>
      </c>
      <c r="G8" s="83">
        <f t="shared" si="1"/>
        <v>0.656772</v>
      </c>
      <c r="H8" s="61">
        <v>0</v>
      </c>
      <c r="I8" s="61">
        <f t="shared" si="2"/>
        <v>0</v>
      </c>
      <c r="J8" s="61">
        <f t="shared" si="3"/>
        <v>0.656772</v>
      </c>
      <c r="K8" s="84">
        <v>0.11285216518800001</v>
      </c>
      <c r="L8" s="61">
        <v>170.52</v>
      </c>
      <c r="M8" s="17">
        <f t="shared" si="4"/>
        <v>170.52</v>
      </c>
      <c r="O8" s="18"/>
    </row>
    <row r="9" spans="2:15" ht="12.75">
      <c r="B9" s="57">
        <f aca="true" t="shared" si="5" ref="B9:B29">B8+1</f>
        <v>4</v>
      </c>
      <c r="C9" s="65" t="s">
        <v>4</v>
      </c>
      <c r="D9" s="82">
        <f>3.8186285+747.73/1000</f>
        <v>4.5663585</v>
      </c>
      <c r="E9" s="82">
        <f>0.0574505+49.25/1000</f>
        <v>0.1067005</v>
      </c>
      <c r="F9" s="82">
        <f t="shared" si="0"/>
        <v>2.6565714106452574</v>
      </c>
      <c r="G9" s="83">
        <f t="shared" si="1"/>
        <v>4.459658</v>
      </c>
      <c r="H9" s="61">
        <v>0.44318399999999997</v>
      </c>
      <c r="I9" s="61">
        <f t="shared" si="2"/>
        <v>11.034155829217365</v>
      </c>
      <c r="J9" s="61">
        <f t="shared" si="3"/>
        <v>4.0164740000000005</v>
      </c>
      <c r="K9" s="84">
        <f>0.645844638205+134.06/1000</f>
        <v>0.7799046382050001</v>
      </c>
      <c r="L9" s="61">
        <v>169.13</v>
      </c>
      <c r="M9" s="17">
        <f t="shared" si="4"/>
        <v>170.79356301197114</v>
      </c>
      <c r="O9" s="18"/>
    </row>
    <row r="10" spans="2:15" ht="12.75">
      <c r="B10" s="57">
        <f t="shared" si="5"/>
        <v>5</v>
      </c>
      <c r="C10" s="75" t="s">
        <v>27</v>
      </c>
      <c r="D10" s="82">
        <v>3.4707345</v>
      </c>
      <c r="E10" s="82">
        <v>0.0423575</v>
      </c>
      <c r="F10" s="82">
        <f t="shared" si="0"/>
        <v>1.3408995003619946</v>
      </c>
      <c r="G10" s="83">
        <f t="shared" si="1"/>
        <v>3.428377</v>
      </c>
      <c r="H10" s="61">
        <v>0.26949</v>
      </c>
      <c r="I10" s="61">
        <f t="shared" si="2"/>
        <v>8.53116936439955</v>
      </c>
      <c r="J10" s="61">
        <f t="shared" si="3"/>
        <v>3.158887</v>
      </c>
      <c r="K10" s="84">
        <v>0.592142013045</v>
      </c>
      <c r="L10" s="61">
        <v>170.61</v>
      </c>
      <c r="M10" s="17">
        <f t="shared" si="4"/>
        <v>170.61</v>
      </c>
      <c r="O10" s="18"/>
    </row>
    <row r="11" spans="2:15" ht="12.75">
      <c r="B11" s="57">
        <f t="shared" si="5"/>
        <v>6</v>
      </c>
      <c r="C11" s="69" t="s">
        <v>14</v>
      </c>
      <c r="D11" s="82">
        <v>1.9672049000000003</v>
      </c>
      <c r="E11" s="82">
        <v>0.0161489</v>
      </c>
      <c r="F11" s="82">
        <f t="shared" si="0"/>
        <v>0.8816075940245315</v>
      </c>
      <c r="G11" s="83">
        <f t="shared" si="1"/>
        <v>1.9510560000000003</v>
      </c>
      <c r="H11" s="61">
        <v>0.1193</v>
      </c>
      <c r="I11" s="61">
        <f t="shared" si="2"/>
        <v>6.5128761690967565</v>
      </c>
      <c r="J11" s="61">
        <f t="shared" si="3"/>
        <v>1.8317560000000004</v>
      </c>
      <c r="K11" s="84">
        <v>0.34721166485000005</v>
      </c>
      <c r="L11" s="61">
        <v>176.5</v>
      </c>
      <c r="M11" s="17">
        <f t="shared" si="4"/>
        <v>176.5</v>
      </c>
      <c r="O11" s="18"/>
    </row>
    <row r="12" spans="2:15" ht="12.75">
      <c r="B12" s="57">
        <f t="shared" si="5"/>
        <v>7</v>
      </c>
      <c r="C12" s="65" t="s">
        <v>39</v>
      </c>
      <c r="D12" s="82">
        <v>6.1221893</v>
      </c>
      <c r="E12" s="82">
        <v>0.0339623</v>
      </c>
      <c r="F12" s="82">
        <f t="shared" si="0"/>
        <v>0.5946402311305996</v>
      </c>
      <c r="G12" s="83">
        <f t="shared" si="1"/>
        <v>6.088227</v>
      </c>
      <c r="H12" s="61">
        <v>0.37682399999999994</v>
      </c>
      <c r="I12" s="61">
        <f t="shared" si="2"/>
        <v>6.597748399123647</v>
      </c>
      <c r="J12" s="61">
        <f t="shared" si="3"/>
        <v>5.711403</v>
      </c>
      <c r="K12" s="84">
        <v>0.9913661133489999</v>
      </c>
      <c r="L12" s="61">
        <v>161.93</v>
      </c>
      <c r="M12" s="17">
        <f t="shared" si="4"/>
        <v>161.92999999999998</v>
      </c>
      <c r="O12" s="18"/>
    </row>
    <row r="13" spans="2:15" ht="12.75">
      <c r="B13" s="57">
        <f t="shared" si="5"/>
        <v>8</v>
      </c>
      <c r="C13" s="66" t="s">
        <v>28</v>
      </c>
      <c r="D13" s="82">
        <v>3.0053917</v>
      </c>
      <c r="E13" s="82">
        <v>0.0370037</v>
      </c>
      <c r="F13" s="82">
        <f t="shared" si="0"/>
        <v>1.3268120468224593</v>
      </c>
      <c r="G13" s="83">
        <f t="shared" si="1"/>
        <v>2.968388</v>
      </c>
      <c r="H13" s="61">
        <v>0.17947</v>
      </c>
      <c r="I13" s="61">
        <f t="shared" si="2"/>
        <v>6.435112111578754</v>
      </c>
      <c r="J13" s="61">
        <f t="shared" si="3"/>
        <v>2.7889180000000002</v>
      </c>
      <c r="K13" s="84">
        <v>0.520684112025</v>
      </c>
      <c r="L13" s="61">
        <v>173.25</v>
      </c>
      <c r="M13" s="17">
        <f t="shared" si="4"/>
        <v>173.25</v>
      </c>
      <c r="O13" s="18"/>
    </row>
    <row r="14" spans="2:15" s="38" customFormat="1" ht="12.75">
      <c r="B14" s="57">
        <f t="shared" si="5"/>
        <v>9</v>
      </c>
      <c r="C14" s="67" t="s">
        <v>3</v>
      </c>
      <c r="D14" s="82">
        <v>142.73980030000004</v>
      </c>
      <c r="E14" s="82">
        <v>0.8008483</v>
      </c>
      <c r="F14" s="82">
        <f t="shared" si="0"/>
        <v>0.6230440898006318</v>
      </c>
      <c r="G14" s="83">
        <f t="shared" si="1"/>
        <v>141.93895200000003</v>
      </c>
      <c r="H14" s="61">
        <v>13.400970000000001</v>
      </c>
      <c r="I14" s="61">
        <f t="shared" si="2"/>
        <v>10.42568880535249</v>
      </c>
      <c r="J14" s="61">
        <f t="shared" si="3"/>
        <v>128.53798200000003</v>
      </c>
      <c r="K14" s="84">
        <v>22.998236624336005</v>
      </c>
      <c r="L14" s="61">
        <v>161.12</v>
      </c>
      <c r="M14" s="17">
        <f t="shared" si="4"/>
        <v>161.11999999999998</v>
      </c>
      <c r="O14" s="39"/>
    </row>
    <row r="15" spans="2:15" ht="12.75">
      <c r="B15" s="57">
        <f t="shared" si="5"/>
        <v>10</v>
      </c>
      <c r="C15" s="66" t="s">
        <v>30</v>
      </c>
      <c r="D15" s="82">
        <v>4.8492603</v>
      </c>
      <c r="E15" s="82">
        <v>0.0983323</v>
      </c>
      <c r="F15" s="82">
        <f t="shared" si="0"/>
        <v>2.6734333334783345</v>
      </c>
      <c r="G15" s="83">
        <f t="shared" si="1"/>
        <v>4.750928</v>
      </c>
      <c r="H15" s="61">
        <v>1.0728</v>
      </c>
      <c r="I15" s="61">
        <f t="shared" si="2"/>
        <v>29.167011044748847</v>
      </c>
      <c r="J15" s="61">
        <f t="shared" si="3"/>
        <v>3.678128</v>
      </c>
      <c r="K15" s="84">
        <v>0.759491148186</v>
      </c>
      <c r="L15" s="61">
        <v>156.62</v>
      </c>
      <c r="M15" s="17">
        <f t="shared" si="4"/>
        <v>156.62</v>
      </c>
      <c r="O15" s="18"/>
    </row>
    <row r="16" spans="2:15" ht="12.75">
      <c r="B16" s="57">
        <f t="shared" si="5"/>
        <v>11</v>
      </c>
      <c r="C16" s="65" t="s">
        <v>9</v>
      </c>
      <c r="D16" s="82">
        <v>0.16463160000000002</v>
      </c>
      <c r="E16" s="82">
        <v>0.006050600000000001</v>
      </c>
      <c r="F16" s="82">
        <f t="shared" si="0"/>
        <v>3.8570545225057526</v>
      </c>
      <c r="G16" s="83">
        <f t="shared" si="1"/>
        <v>0.15858100000000003</v>
      </c>
      <c r="H16" s="61">
        <v>0.00171</v>
      </c>
      <c r="I16" s="61">
        <f t="shared" si="2"/>
        <v>1.0900676351906977</v>
      </c>
      <c r="J16" s="61">
        <f t="shared" si="3"/>
        <v>0.15687100000000004</v>
      </c>
      <c r="K16" s="84">
        <v>0.027648230904000006</v>
      </c>
      <c r="L16" s="61">
        <v>167.94</v>
      </c>
      <c r="M16" s="17">
        <f t="shared" si="4"/>
        <v>167.94000000000003</v>
      </c>
      <c r="O16" s="18"/>
    </row>
    <row r="17" spans="2:15" s="19" customFormat="1" ht="12.75">
      <c r="B17" s="57">
        <f t="shared" si="5"/>
        <v>12</v>
      </c>
      <c r="C17" s="65" t="s">
        <v>18</v>
      </c>
      <c r="D17" s="82">
        <v>0.6087625000000001</v>
      </c>
      <c r="E17" s="82">
        <v>0.0048895</v>
      </c>
      <c r="F17" s="82">
        <f t="shared" si="0"/>
        <v>0.9284806869560757</v>
      </c>
      <c r="G17" s="83">
        <f t="shared" si="1"/>
        <v>0.6038730000000001</v>
      </c>
      <c r="H17" s="61">
        <v>0.07726000000000001</v>
      </c>
      <c r="I17" s="61">
        <f t="shared" si="2"/>
        <v>14.671115221234569</v>
      </c>
      <c r="J17" s="61">
        <f t="shared" si="3"/>
        <v>0.5266130000000001</v>
      </c>
      <c r="K17" s="84">
        <v>0.10841451362500001</v>
      </c>
      <c r="L17" s="61">
        <v>178.09</v>
      </c>
      <c r="M17" s="17">
        <f t="shared" si="4"/>
        <v>178.09</v>
      </c>
      <c r="O17" s="18"/>
    </row>
    <row r="18" spans="2:15" ht="12.75">
      <c r="B18" s="57">
        <f t="shared" si="5"/>
        <v>13</v>
      </c>
      <c r="C18" s="68" t="s">
        <v>22</v>
      </c>
      <c r="D18" s="82">
        <v>0.1573759</v>
      </c>
      <c r="E18" s="82">
        <v>0.0012549</v>
      </c>
      <c r="F18" s="82">
        <f t="shared" si="0"/>
        <v>0.8580454150740848</v>
      </c>
      <c r="G18" s="83">
        <f t="shared" si="1"/>
        <v>0.156121</v>
      </c>
      <c r="H18" s="61">
        <v>0.009869999999999999</v>
      </c>
      <c r="I18" s="61">
        <f t="shared" si="2"/>
        <v>6.748671803953475</v>
      </c>
      <c r="J18" s="61">
        <f t="shared" si="3"/>
        <v>0.14625100000000002</v>
      </c>
      <c r="K18" s="84">
        <v>0.026236136289</v>
      </c>
      <c r="L18" s="61">
        <v>166.71</v>
      </c>
      <c r="M18" s="17">
        <f t="shared" si="4"/>
        <v>166.71</v>
      </c>
      <c r="O18" s="18"/>
    </row>
    <row r="19" spans="2:15" ht="12.75">
      <c r="B19" s="57">
        <f t="shared" si="5"/>
        <v>14</v>
      </c>
      <c r="C19" s="72" t="s">
        <v>35</v>
      </c>
      <c r="D19" s="82">
        <v>5.3961314</v>
      </c>
      <c r="E19" s="82">
        <v>0.0201064</v>
      </c>
      <c r="F19" s="82">
        <f t="shared" si="0"/>
        <v>0.43649831372068015</v>
      </c>
      <c r="G19" s="83">
        <f t="shared" si="1"/>
        <v>5.376024999999999</v>
      </c>
      <c r="H19" s="61">
        <v>0.76973</v>
      </c>
      <c r="I19" s="61">
        <f t="shared" si="2"/>
        <v>16.71039305993212</v>
      </c>
      <c r="J19" s="61">
        <f>G19-H19</f>
        <v>4.606294999999999</v>
      </c>
      <c r="K19" s="84">
        <v>0.962831725702</v>
      </c>
      <c r="L19" s="61">
        <v>178.43</v>
      </c>
      <c r="M19" s="17">
        <f t="shared" si="4"/>
        <v>178.43</v>
      </c>
      <c r="O19" s="18"/>
    </row>
    <row r="20" spans="2:15" ht="12.75">
      <c r="B20" s="57">
        <f t="shared" si="5"/>
        <v>15</v>
      </c>
      <c r="C20" s="70" t="s">
        <v>33</v>
      </c>
      <c r="D20" s="85">
        <v>0.5507517000000001</v>
      </c>
      <c r="E20" s="85">
        <v>0.0013836999999999999</v>
      </c>
      <c r="F20" s="85">
        <f t="shared" si="0"/>
        <v>0.3198803425126222</v>
      </c>
      <c r="G20" s="86">
        <f t="shared" si="1"/>
        <v>0.5493680000000001</v>
      </c>
      <c r="H20" s="71">
        <v>0.1168</v>
      </c>
      <c r="I20" s="71">
        <f t="shared" si="2"/>
        <v>27.001535018771612</v>
      </c>
      <c r="J20" s="71">
        <f t="shared" si="3"/>
        <v>0.43256800000000006</v>
      </c>
      <c r="K20" s="87">
        <v>0.08771822325900001</v>
      </c>
      <c r="L20" s="71">
        <v>159.27</v>
      </c>
      <c r="M20" s="17">
        <f t="shared" si="4"/>
        <v>159.26999999999998</v>
      </c>
      <c r="O20" s="18"/>
    </row>
    <row r="21" spans="2:15" ht="12.75">
      <c r="B21" s="57">
        <f t="shared" si="5"/>
        <v>16</v>
      </c>
      <c r="C21" s="65" t="s">
        <v>15</v>
      </c>
      <c r="D21" s="82">
        <v>1.3132693</v>
      </c>
      <c r="E21" s="82">
        <v>0.0081813</v>
      </c>
      <c r="F21" s="82">
        <f t="shared" si="0"/>
        <v>0.7265627497717642</v>
      </c>
      <c r="G21" s="83">
        <f t="shared" si="1"/>
        <v>1.305088</v>
      </c>
      <c r="H21" s="61">
        <v>0.17906</v>
      </c>
      <c r="I21" s="61">
        <f t="shared" si="2"/>
        <v>15.901913629145989</v>
      </c>
      <c r="J21" s="61">
        <f t="shared" si="3"/>
        <v>1.126028</v>
      </c>
      <c r="K21" s="84">
        <v>0.22199504247199997</v>
      </c>
      <c r="L21" s="61">
        <v>169.04</v>
      </c>
      <c r="M21" s="17">
        <f t="shared" si="4"/>
        <v>169.03999999999996</v>
      </c>
      <c r="O21" s="18"/>
    </row>
    <row r="22" spans="2:15" ht="12.75">
      <c r="B22" s="57">
        <f t="shared" si="5"/>
        <v>17</v>
      </c>
      <c r="C22" s="66" t="s">
        <v>26</v>
      </c>
      <c r="D22" s="82">
        <v>7.059765100000001</v>
      </c>
      <c r="E22" s="82">
        <v>0.0645341</v>
      </c>
      <c r="F22" s="82">
        <f t="shared" si="0"/>
        <v>1.1510748122554477</v>
      </c>
      <c r="G22" s="83">
        <f t="shared" si="1"/>
        <v>6.995231</v>
      </c>
      <c r="H22" s="61">
        <v>1.3888099999999999</v>
      </c>
      <c r="I22" s="61">
        <f t="shared" si="2"/>
        <v>24.771775077183815</v>
      </c>
      <c r="J22" s="61">
        <f>G22-H22</f>
        <v>5.606421000000001</v>
      </c>
      <c r="K22" s="84">
        <v>1.2701223391410001</v>
      </c>
      <c r="L22" s="61">
        <v>179.91</v>
      </c>
      <c r="M22" s="17">
        <f t="shared" si="4"/>
        <v>179.91</v>
      </c>
      <c r="O22" s="18"/>
    </row>
    <row r="23" spans="2:15" ht="12.75">
      <c r="B23" s="57">
        <f t="shared" si="5"/>
        <v>18</v>
      </c>
      <c r="C23" s="66" t="s">
        <v>29</v>
      </c>
      <c r="D23" s="82">
        <v>3.9665429000000003</v>
      </c>
      <c r="E23" s="82">
        <v>0.0457439</v>
      </c>
      <c r="F23" s="82">
        <f t="shared" si="0"/>
        <v>1.2573261037290804</v>
      </c>
      <c r="G23" s="83">
        <f t="shared" si="1"/>
        <v>3.920799</v>
      </c>
      <c r="H23" s="61">
        <v>0.28261000000000003</v>
      </c>
      <c r="I23" s="61">
        <f t="shared" si="2"/>
        <v>7.76787572058516</v>
      </c>
      <c r="J23" s="61">
        <f t="shared" si="3"/>
        <v>3.638189</v>
      </c>
      <c r="K23" s="84">
        <v>0.6695127760910001</v>
      </c>
      <c r="L23" s="61">
        <v>168.79</v>
      </c>
      <c r="M23" s="17">
        <f t="shared" si="4"/>
        <v>168.79000000000002</v>
      </c>
      <c r="O23" s="18"/>
    </row>
    <row r="24" spans="2:15" ht="12.75">
      <c r="B24" s="57">
        <f t="shared" si="5"/>
        <v>19</v>
      </c>
      <c r="C24" s="65" t="s">
        <v>19</v>
      </c>
      <c r="D24" s="82">
        <v>2.5191206999999998</v>
      </c>
      <c r="E24" s="82">
        <v>0.0124527</v>
      </c>
      <c r="F24" s="82">
        <f t="shared" si="0"/>
        <v>0.5300085804467962</v>
      </c>
      <c r="G24" s="83">
        <f t="shared" si="1"/>
        <v>2.506668</v>
      </c>
      <c r="H24" s="61">
        <v>0.15713999999999997</v>
      </c>
      <c r="I24" s="61">
        <f t="shared" si="2"/>
        <v>6.68815183304902</v>
      </c>
      <c r="J24" s="61">
        <f t="shared" si="3"/>
        <v>2.349528</v>
      </c>
      <c r="K24" s="84">
        <v>0.44601031993500007</v>
      </c>
      <c r="L24" s="61">
        <v>177.05</v>
      </c>
      <c r="M24" s="17">
        <f t="shared" si="4"/>
        <v>177.05000000000004</v>
      </c>
      <c r="O24" s="18"/>
    </row>
    <row r="25" spans="2:15" ht="12.75">
      <c r="B25" s="57">
        <f t="shared" si="5"/>
        <v>20</v>
      </c>
      <c r="C25" s="65" t="s">
        <v>10</v>
      </c>
      <c r="D25" s="82">
        <v>1.7819751999999998</v>
      </c>
      <c r="E25" s="82">
        <v>0.0029002</v>
      </c>
      <c r="F25" s="82">
        <f t="shared" si="0"/>
        <v>0.19864451590587642</v>
      </c>
      <c r="G25" s="83">
        <f t="shared" si="1"/>
        <v>1.7790749999999997</v>
      </c>
      <c r="H25" s="61">
        <v>0.31908</v>
      </c>
      <c r="I25" s="61">
        <f t="shared" si="2"/>
        <v>21.854869365990982</v>
      </c>
      <c r="J25" s="61">
        <f t="shared" si="3"/>
        <v>1.4599949999999997</v>
      </c>
      <c r="K25" s="84">
        <v>0.281926296392</v>
      </c>
      <c r="L25" s="61">
        <v>158.21</v>
      </c>
      <c r="M25" s="17">
        <f t="shared" si="4"/>
        <v>158.21</v>
      </c>
      <c r="O25" s="18"/>
    </row>
    <row r="26" spans="2:15" ht="12.75">
      <c r="B26" s="57">
        <f t="shared" si="5"/>
        <v>21</v>
      </c>
      <c r="C26" s="65" t="s">
        <v>12</v>
      </c>
      <c r="D26" s="82">
        <v>0.4205987</v>
      </c>
      <c r="E26" s="82">
        <v>0.0010947</v>
      </c>
      <c r="F26" s="82">
        <f t="shared" si="0"/>
        <v>0.27717151870850787</v>
      </c>
      <c r="G26" s="83">
        <f t="shared" si="1"/>
        <v>0.419504</v>
      </c>
      <c r="H26" s="61">
        <v>0.024550000000000002</v>
      </c>
      <c r="I26" s="61">
        <f t="shared" si="2"/>
        <v>6.215913751981245</v>
      </c>
      <c r="J26" s="61">
        <f t="shared" si="3"/>
        <v>0.39495399999999997</v>
      </c>
      <c r="K26" s="84">
        <v>0.067245320156</v>
      </c>
      <c r="L26" s="61">
        <v>159.88</v>
      </c>
      <c r="M26" s="17">
        <f t="shared" si="4"/>
        <v>159.88</v>
      </c>
      <c r="O26" s="18"/>
    </row>
    <row r="27" spans="2:15" ht="12.75">
      <c r="B27" s="57">
        <f t="shared" si="5"/>
        <v>22</v>
      </c>
      <c r="C27" s="65" t="s">
        <v>20</v>
      </c>
      <c r="D27" s="82">
        <v>0.3961752</v>
      </c>
      <c r="E27" s="82">
        <v>0.0010252</v>
      </c>
      <c r="F27" s="82">
        <f t="shared" si="0"/>
        <v>0.2884312401530498</v>
      </c>
      <c r="G27" s="83">
        <f t="shared" si="1"/>
        <v>0.39515</v>
      </c>
      <c r="H27" s="61">
        <v>0.03971</v>
      </c>
      <c r="I27" s="61">
        <f t="shared" si="2"/>
        <v>11.17206842223723</v>
      </c>
      <c r="J27" s="61">
        <f t="shared" si="3"/>
        <v>0.35544</v>
      </c>
      <c r="K27" s="84">
        <v>0.06882355574400001</v>
      </c>
      <c r="L27" s="61">
        <v>173.72</v>
      </c>
      <c r="M27" s="17">
        <f t="shared" si="4"/>
        <v>173.72000000000003</v>
      </c>
      <c r="O27" s="18"/>
    </row>
    <row r="28" spans="2:15" ht="12.75">
      <c r="B28" s="57">
        <f t="shared" si="5"/>
        <v>23</v>
      </c>
      <c r="C28" s="73" t="s">
        <v>51</v>
      </c>
      <c r="D28" s="82">
        <v>0.53015</v>
      </c>
      <c r="E28" s="82">
        <v>0.12805</v>
      </c>
      <c r="F28" s="82">
        <f t="shared" si="0"/>
        <v>31.84531211141507</v>
      </c>
      <c r="G28" s="83">
        <f t="shared" si="1"/>
        <v>0.4021</v>
      </c>
      <c r="H28" s="61">
        <v>0</v>
      </c>
      <c r="I28" s="61">
        <f t="shared" si="2"/>
        <v>0</v>
      </c>
      <c r="J28" s="61">
        <f t="shared" si="3"/>
        <v>0.4021</v>
      </c>
      <c r="K28" s="84">
        <f>88.81/1000</f>
        <v>0.08881</v>
      </c>
      <c r="L28" s="61">
        <v>167.52</v>
      </c>
      <c r="M28" s="17">
        <f t="shared" si="4"/>
        <v>167.51862680373478</v>
      </c>
      <c r="O28" s="18"/>
    </row>
    <row r="29" spans="2:15" ht="12.75">
      <c r="B29" s="57">
        <f t="shared" si="5"/>
        <v>24</v>
      </c>
      <c r="C29" s="65" t="s">
        <v>8</v>
      </c>
      <c r="D29" s="82">
        <v>22.697758099999998</v>
      </c>
      <c r="E29" s="82">
        <v>0.1361831</v>
      </c>
      <c r="F29" s="82">
        <f t="shared" si="0"/>
        <v>0.7548322603906937</v>
      </c>
      <c r="G29" s="83">
        <f t="shared" si="1"/>
        <v>22.561574999999998</v>
      </c>
      <c r="H29" s="61">
        <v>4.52007</v>
      </c>
      <c r="I29" s="61">
        <f t="shared" si="2"/>
        <v>25.053730273610768</v>
      </c>
      <c r="J29" s="61">
        <f t="shared" si="3"/>
        <v>18.041504999999997</v>
      </c>
      <c r="K29" s="84">
        <v>3.706770875311</v>
      </c>
      <c r="L29" s="61">
        <v>163.31</v>
      </c>
      <c r="M29" s="17">
        <f t="shared" si="4"/>
        <v>163.31</v>
      </c>
      <c r="O29" s="18"/>
    </row>
    <row r="30" spans="2:15" ht="12.75">
      <c r="B30" s="57">
        <f>B29+1</f>
        <v>25</v>
      </c>
      <c r="C30" s="65" t="s">
        <v>7</v>
      </c>
      <c r="D30" s="82">
        <v>8.6138492</v>
      </c>
      <c r="E30" s="82">
        <v>0.10102320000000001</v>
      </c>
      <c r="F30" s="82">
        <f t="shared" si="0"/>
        <v>1.3585059113709879</v>
      </c>
      <c r="G30" s="83">
        <f t="shared" si="1"/>
        <v>8.512826</v>
      </c>
      <c r="H30" s="61">
        <v>1.07648</v>
      </c>
      <c r="I30" s="61">
        <f t="shared" si="2"/>
        <v>14.475926752197921</v>
      </c>
      <c r="J30" s="61">
        <f t="shared" si="3"/>
        <v>7.436346</v>
      </c>
      <c r="K30" s="84">
        <v>1.4330860914040002</v>
      </c>
      <c r="L30" s="61">
        <v>166.37</v>
      </c>
      <c r="M30" s="17">
        <f t="shared" si="4"/>
        <v>166.37</v>
      </c>
      <c r="O30" s="18"/>
    </row>
    <row r="31" spans="2:15" ht="12.75">
      <c r="B31" s="57">
        <f>B30+1</f>
        <v>26</v>
      </c>
      <c r="C31" s="65" t="s">
        <v>6</v>
      </c>
      <c r="D31" s="82">
        <v>6.00943</v>
      </c>
      <c r="E31" s="82">
        <v>0.057466</v>
      </c>
      <c r="F31" s="82">
        <f t="shared" si="0"/>
        <v>1.0152042138765658</v>
      </c>
      <c r="G31" s="83">
        <f t="shared" si="1"/>
        <v>5.951964</v>
      </c>
      <c r="H31" s="61">
        <v>0.291428</v>
      </c>
      <c r="I31" s="61">
        <f t="shared" si="2"/>
        <v>5.148417040365081</v>
      </c>
      <c r="J31" s="61">
        <f t="shared" si="3"/>
        <v>5.6605360000000005</v>
      </c>
      <c r="K31" s="84">
        <v>1.0179373477</v>
      </c>
      <c r="L31" s="61">
        <v>169.39</v>
      </c>
      <c r="M31" s="17">
        <f t="shared" si="4"/>
        <v>169.39</v>
      </c>
      <c r="O31" s="18"/>
    </row>
    <row r="32" spans="2:15" ht="12.75">
      <c r="B32" s="57">
        <f aca="true" t="shared" si="6" ref="B32:B39">B31+1</f>
        <v>27</v>
      </c>
      <c r="C32" s="65" t="s">
        <v>17</v>
      </c>
      <c r="D32" s="82">
        <v>0.6523247999999999</v>
      </c>
      <c r="E32" s="82">
        <v>0.0007907999999999999</v>
      </c>
      <c r="F32" s="82">
        <f t="shared" si="0"/>
        <v>0.1301891265409335</v>
      </c>
      <c r="G32" s="83">
        <f t="shared" si="1"/>
        <v>0.651534</v>
      </c>
      <c r="H32" s="61">
        <v>0.044109999999999996</v>
      </c>
      <c r="I32" s="61">
        <f t="shared" si="2"/>
        <v>7.261813823622379</v>
      </c>
      <c r="J32" s="61">
        <f t="shared" si="3"/>
        <v>0.607424</v>
      </c>
      <c r="K32" s="84">
        <v>0.104228456544</v>
      </c>
      <c r="L32" s="61">
        <v>159.78</v>
      </c>
      <c r="M32" s="17">
        <f t="shared" si="4"/>
        <v>159.78</v>
      </c>
      <c r="O32" s="18"/>
    </row>
    <row r="33" spans="2:15" ht="12.75">
      <c r="B33" s="57">
        <f t="shared" si="6"/>
        <v>28</v>
      </c>
      <c r="C33" s="65" t="s">
        <v>16</v>
      </c>
      <c r="D33" s="82">
        <v>5.0962963</v>
      </c>
      <c r="E33" s="82">
        <v>0.0238903</v>
      </c>
      <c r="F33" s="82">
        <f t="shared" si="0"/>
        <v>0.525550589273623</v>
      </c>
      <c r="G33" s="83">
        <f t="shared" si="1"/>
        <v>5.072406</v>
      </c>
      <c r="H33" s="61">
        <v>0.52664</v>
      </c>
      <c r="I33" s="61">
        <f t="shared" si="2"/>
        <v>11.585286176191206</v>
      </c>
      <c r="J33" s="61">
        <f t="shared" si="3"/>
        <v>4.545766</v>
      </c>
      <c r="K33" s="84">
        <v>0.9004136302840001</v>
      </c>
      <c r="L33" s="61">
        <v>176.68</v>
      </c>
      <c r="M33" s="17">
        <f t="shared" si="4"/>
        <v>176.68000000000004</v>
      </c>
      <c r="O33" s="18"/>
    </row>
    <row r="34" spans="2:15" ht="12.75">
      <c r="B34" s="57">
        <f t="shared" si="6"/>
        <v>29</v>
      </c>
      <c r="C34" s="65" t="s">
        <v>21</v>
      </c>
      <c r="D34" s="82">
        <v>0.7287598000000001</v>
      </c>
      <c r="E34" s="82">
        <v>0.0013598</v>
      </c>
      <c r="F34" s="82">
        <f t="shared" si="0"/>
        <v>0.18978102189781018</v>
      </c>
      <c r="G34" s="83">
        <f t="shared" si="1"/>
        <v>0.7274</v>
      </c>
      <c r="H34" s="61">
        <v>0.01089</v>
      </c>
      <c r="I34" s="61">
        <f t="shared" si="2"/>
        <v>1.5198671337455163</v>
      </c>
      <c r="J34" s="61">
        <f t="shared" si="3"/>
        <v>0.7165100000000001</v>
      </c>
      <c r="K34" s="84">
        <v>0.12158628503200002</v>
      </c>
      <c r="L34" s="61">
        <v>166.84</v>
      </c>
      <c r="M34" s="17">
        <f t="shared" si="4"/>
        <v>166.84</v>
      </c>
      <c r="O34" s="18"/>
    </row>
    <row r="35" spans="2:15" ht="12.75">
      <c r="B35" s="57">
        <f t="shared" si="6"/>
        <v>30</v>
      </c>
      <c r="C35" s="65" t="s">
        <v>13</v>
      </c>
      <c r="D35" s="82">
        <v>2.0604430000000002</v>
      </c>
      <c r="E35" s="82">
        <v>0.0054859999999999996</v>
      </c>
      <c r="F35" s="82">
        <f t="shared" si="0"/>
        <v>0.28502003089189026</v>
      </c>
      <c r="G35" s="83">
        <f t="shared" si="1"/>
        <v>2.0549570000000004</v>
      </c>
      <c r="H35" s="61">
        <v>0.13018000000000002</v>
      </c>
      <c r="I35" s="61">
        <f t="shared" si="2"/>
        <v>6.763380900748501</v>
      </c>
      <c r="J35" s="61">
        <f t="shared" si="3"/>
        <v>1.9247770000000004</v>
      </c>
      <c r="K35" s="84">
        <v>0.32268597823000006</v>
      </c>
      <c r="L35" s="61">
        <v>156.61</v>
      </c>
      <c r="M35" s="17">
        <f t="shared" si="4"/>
        <v>156.60999999999999</v>
      </c>
      <c r="O35" s="18"/>
    </row>
    <row r="36" spans="2:15" ht="12.75">
      <c r="B36" s="57">
        <f>B35+1</f>
        <v>31</v>
      </c>
      <c r="C36" s="65" t="s">
        <v>5</v>
      </c>
      <c r="D36" s="82">
        <v>1.2296976</v>
      </c>
      <c r="E36" s="82">
        <v>0.023319600000000003</v>
      </c>
      <c r="F36" s="82">
        <f t="shared" si="0"/>
        <v>2.2944729017315106</v>
      </c>
      <c r="G36" s="83">
        <f t="shared" si="1"/>
        <v>1.206378</v>
      </c>
      <c r="H36" s="61">
        <v>0.19004</v>
      </c>
      <c r="I36" s="61">
        <f t="shared" si="2"/>
        <v>18.698503844193564</v>
      </c>
      <c r="J36" s="61">
        <f t="shared" si="3"/>
        <v>1.016338</v>
      </c>
      <c r="K36" s="84">
        <v>0.223964823888</v>
      </c>
      <c r="L36" s="61">
        <v>182.13</v>
      </c>
      <c r="M36" s="17">
        <f t="shared" si="4"/>
        <v>182.13</v>
      </c>
      <c r="O36" s="18"/>
    </row>
    <row r="37" spans="2:15" ht="12.75">
      <c r="B37" s="57">
        <f t="shared" si="6"/>
        <v>32</v>
      </c>
      <c r="C37" s="69" t="s">
        <v>2</v>
      </c>
      <c r="D37" s="82">
        <v>169.41140330000005</v>
      </c>
      <c r="E37" s="82">
        <v>0.3947263</v>
      </c>
      <c r="F37" s="82">
        <f t="shared" si="0"/>
        <v>0.2812398140187487</v>
      </c>
      <c r="G37" s="83">
        <f t="shared" si="1"/>
        <v>169.01667700000004</v>
      </c>
      <c r="H37" s="61">
        <v>28.664464999999996</v>
      </c>
      <c r="I37" s="61">
        <f t="shared" si="2"/>
        <v>20.423237077303767</v>
      </c>
      <c r="J37" s="61">
        <f t="shared" si="3"/>
        <v>140.35221200000004</v>
      </c>
      <c r="K37" s="84">
        <v>26.639943168925004</v>
      </c>
      <c r="L37" s="61">
        <v>157.25</v>
      </c>
      <c r="M37" s="17">
        <f t="shared" si="4"/>
        <v>157.24999999999997</v>
      </c>
      <c r="O37" s="18"/>
    </row>
    <row r="38" spans="2:15" ht="12.75">
      <c r="B38" s="57">
        <f t="shared" si="6"/>
        <v>33</v>
      </c>
      <c r="C38" s="65" t="s">
        <v>40</v>
      </c>
      <c r="D38" s="82">
        <v>0.1812532</v>
      </c>
      <c r="E38" s="82">
        <v>0.0006332</v>
      </c>
      <c r="F38" s="82">
        <f t="shared" si="0"/>
        <v>0.3930721956670184</v>
      </c>
      <c r="G38" s="83">
        <f t="shared" si="1"/>
        <v>0.18062</v>
      </c>
      <c r="H38" s="61">
        <v>0.019530000000000002</v>
      </c>
      <c r="I38" s="61">
        <f t="shared" si="2"/>
        <v>12.123657582717735</v>
      </c>
      <c r="J38" s="61">
        <f t="shared" si="3"/>
        <v>0.16109</v>
      </c>
      <c r="K38" s="84">
        <v>0.033535467064</v>
      </c>
      <c r="L38" s="61">
        <v>185.02</v>
      </c>
      <c r="M38" s="17">
        <f t="shared" si="4"/>
        <v>185.01999999999998</v>
      </c>
      <c r="O38" s="18"/>
    </row>
    <row r="39" spans="2:15" ht="13.5" thickBot="1">
      <c r="B39" s="58">
        <f t="shared" si="6"/>
        <v>34</v>
      </c>
      <c r="C39" s="74" t="s">
        <v>34</v>
      </c>
      <c r="D39" s="88">
        <v>1.6178127000000002</v>
      </c>
      <c r="E39" s="88">
        <v>0.0067567</v>
      </c>
      <c r="F39" s="88">
        <f t="shared" si="0"/>
        <v>0.4744020737844881</v>
      </c>
      <c r="G39" s="89">
        <f t="shared" si="1"/>
        <v>1.6110560000000003</v>
      </c>
      <c r="H39" s="62">
        <v>0.18680000000000002</v>
      </c>
      <c r="I39" s="62">
        <f t="shared" si="2"/>
        <v>13.11561966388065</v>
      </c>
      <c r="J39" s="62">
        <f t="shared" si="3"/>
        <v>1.4242560000000002</v>
      </c>
      <c r="K39" s="90">
        <v>0.28412026637400006</v>
      </c>
      <c r="L39" s="62">
        <v>175.62</v>
      </c>
      <c r="M39" s="17">
        <f t="shared" si="4"/>
        <v>175.62000000000003</v>
      </c>
      <c r="O39" s="18"/>
    </row>
    <row r="41" spans="4:12" ht="13.5" thickBot="1">
      <c r="D41" s="47"/>
      <c r="E41" s="47"/>
      <c r="F41" s="47"/>
      <c r="G41" s="47"/>
      <c r="H41" s="47"/>
      <c r="I41" s="47"/>
      <c r="J41" s="47"/>
      <c r="K41" s="47"/>
      <c r="L41" s="47"/>
    </row>
    <row r="42" spans="2:15" s="25" customFormat="1" ht="13.5" thickBot="1">
      <c r="B42" s="26" t="s">
        <v>23</v>
      </c>
      <c r="C42" s="35"/>
      <c r="D42" s="48">
        <f aca="true" t="shared" si="7" ref="D42:K42">SUM(D6:D41)</f>
        <v>412.18821450000013</v>
      </c>
      <c r="E42" s="48">
        <f t="shared" si="7"/>
        <v>2.2020194999999996</v>
      </c>
      <c r="F42" s="48"/>
      <c r="G42" s="48">
        <f t="shared" si="7"/>
        <v>409.986195</v>
      </c>
      <c r="H42" s="48">
        <f t="shared" si="7"/>
        <v>54.900071000000004</v>
      </c>
      <c r="I42" s="48"/>
      <c r="J42" s="48">
        <f t="shared" si="7"/>
        <v>355.0861240000001</v>
      </c>
      <c r="K42" s="48">
        <f t="shared" si="7"/>
        <v>66.494911551794</v>
      </c>
      <c r="L42" s="48"/>
      <c r="M42" s="33"/>
      <c r="O42" s="34"/>
    </row>
    <row r="43" spans="2:15" s="30" customFormat="1" ht="12.75">
      <c r="B43" s="20"/>
      <c r="C43" s="36"/>
      <c r="D43" s="49"/>
      <c r="E43" s="49"/>
      <c r="F43" s="49"/>
      <c r="G43" s="49"/>
      <c r="H43" s="49"/>
      <c r="I43" s="49"/>
      <c r="J43" s="49"/>
      <c r="K43" s="49"/>
      <c r="L43" s="49"/>
      <c r="M43" s="31"/>
      <c r="O43" s="32"/>
    </row>
    <row r="44" spans="1:2" ht="12.75">
      <c r="A44" s="19"/>
      <c r="B44" s="19"/>
    </row>
    <row r="45" spans="1:19" ht="12.75">
      <c r="A45" s="19"/>
      <c r="B45" s="19"/>
      <c r="S45" s="40"/>
    </row>
    <row r="46" spans="1:2" ht="12.75">
      <c r="A46" s="19"/>
      <c r="B46" s="19"/>
    </row>
    <row r="47" spans="1:13" ht="15">
      <c r="A47" s="142" t="s">
        <v>53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21"/>
    </row>
    <row r="48" spans="1:13" ht="15.75">
      <c r="A48" s="37"/>
      <c r="B48" s="37"/>
      <c r="C48" s="37"/>
      <c r="D48" s="50"/>
      <c r="E48" s="50"/>
      <c r="F48" s="50"/>
      <c r="G48" s="50"/>
      <c r="H48" s="50"/>
      <c r="I48" s="50"/>
      <c r="J48" s="50"/>
      <c r="K48" s="50"/>
      <c r="L48" s="50"/>
      <c r="M48" s="21"/>
    </row>
    <row r="49" spans="1:13" ht="15.75">
      <c r="A49" s="37"/>
      <c r="B49" s="37"/>
      <c r="C49" s="37"/>
      <c r="D49" s="50"/>
      <c r="E49" s="50"/>
      <c r="F49" s="50"/>
      <c r="G49" s="50"/>
      <c r="H49" s="50"/>
      <c r="I49" s="50"/>
      <c r="J49" s="50"/>
      <c r="K49" s="50"/>
      <c r="L49" s="50"/>
      <c r="M49" s="21"/>
    </row>
    <row r="50" spans="1:13" ht="15.75">
      <c r="A50" s="37"/>
      <c r="B50" s="37"/>
      <c r="C50" s="37"/>
      <c r="D50" s="50"/>
      <c r="E50" s="50"/>
      <c r="F50" s="50"/>
      <c r="G50" s="50"/>
      <c r="H50" s="50"/>
      <c r="I50" s="50"/>
      <c r="J50" s="50"/>
      <c r="K50" s="50"/>
      <c r="L50" s="50"/>
      <c r="M50" s="21"/>
    </row>
    <row r="51" spans="1:13" ht="15.75">
      <c r="A51" s="37"/>
      <c r="B51" s="37"/>
      <c r="C51" s="37"/>
      <c r="D51" s="50"/>
      <c r="E51" s="50"/>
      <c r="F51" s="50"/>
      <c r="G51" s="50"/>
      <c r="H51" s="50"/>
      <c r="I51" s="50"/>
      <c r="J51" s="50"/>
      <c r="K51" s="50"/>
      <c r="L51" s="50"/>
      <c r="M51" s="21"/>
    </row>
    <row r="52" spans="1:13" ht="15.75">
      <c r="A52" s="37"/>
      <c r="B52" s="37"/>
      <c r="C52" s="37"/>
      <c r="D52" s="50"/>
      <c r="E52" s="50"/>
      <c r="F52" s="50"/>
      <c r="G52" s="50"/>
      <c r="H52" s="50"/>
      <c r="I52" s="50"/>
      <c r="J52" s="50"/>
      <c r="K52" s="50"/>
      <c r="L52" s="50"/>
      <c r="M52" s="21"/>
    </row>
    <row r="53" spans="1:13" ht="15.75">
      <c r="A53" s="37"/>
      <c r="B53" s="37"/>
      <c r="C53" s="37"/>
      <c r="D53" s="50"/>
      <c r="E53" s="50"/>
      <c r="F53" s="50"/>
      <c r="G53" s="50"/>
      <c r="H53" s="50"/>
      <c r="I53" s="50"/>
      <c r="J53" s="50"/>
      <c r="K53" s="50"/>
      <c r="L53" s="50"/>
      <c r="M53" s="21"/>
    </row>
    <row r="54" spans="1:13" ht="15.75">
      <c r="A54" s="37"/>
      <c r="B54" s="37"/>
      <c r="C54" s="37"/>
      <c r="D54" s="50"/>
      <c r="E54" s="50"/>
      <c r="F54" s="50"/>
      <c r="G54" s="50"/>
      <c r="H54" s="50"/>
      <c r="I54" s="50"/>
      <c r="J54" s="50"/>
      <c r="K54" s="50"/>
      <c r="L54" s="50"/>
      <c r="M54" s="21"/>
    </row>
    <row r="55" spans="1:13" ht="15.75">
      <c r="A55" s="37"/>
      <c r="B55" s="37"/>
      <c r="C55" s="37"/>
      <c r="D55" s="50"/>
      <c r="E55" s="50"/>
      <c r="F55" s="50"/>
      <c r="G55" s="50"/>
      <c r="H55" s="50"/>
      <c r="I55" s="50"/>
      <c r="J55" s="50"/>
      <c r="K55" s="50"/>
      <c r="L55" s="50"/>
      <c r="M55" s="21"/>
    </row>
    <row r="56" spans="1:13" ht="15.75">
      <c r="A56" s="37"/>
      <c r="B56" s="37"/>
      <c r="C56" s="37"/>
      <c r="D56" s="50"/>
      <c r="E56" s="50"/>
      <c r="F56" s="50"/>
      <c r="G56" s="50"/>
      <c r="H56" s="50"/>
      <c r="I56" s="50"/>
      <c r="J56" s="50"/>
      <c r="K56" s="50"/>
      <c r="L56" s="50"/>
      <c r="M56" s="21"/>
    </row>
    <row r="57" spans="1:13" ht="15.75">
      <c r="A57" s="37"/>
      <c r="B57" s="41" t="s">
        <v>36</v>
      </c>
      <c r="C57" s="41" t="s">
        <v>37</v>
      </c>
      <c r="D57" s="51"/>
      <c r="E57" s="51"/>
      <c r="F57" s="51"/>
      <c r="G57" s="51"/>
      <c r="H57" s="51"/>
      <c r="I57" s="51"/>
      <c r="J57" s="51"/>
      <c r="K57" s="51"/>
      <c r="L57" s="51"/>
      <c r="M57" s="21"/>
    </row>
    <row r="58" spans="2:12" ht="12.75">
      <c r="B58" s="42" t="s">
        <v>38</v>
      </c>
      <c r="C58" s="43" t="s">
        <v>50</v>
      </c>
      <c r="D58" s="52"/>
      <c r="E58" s="52"/>
      <c r="F58" s="52"/>
      <c r="G58" s="52"/>
      <c r="H58" s="52"/>
      <c r="I58" s="52"/>
      <c r="J58" s="52"/>
      <c r="K58" s="52"/>
      <c r="L58" s="52"/>
    </row>
  </sheetData>
  <sheetProtection selectLockedCells="1" selectUnlockedCells="1"/>
  <mergeCells count="1">
    <mergeCell ref="A47:L47"/>
  </mergeCells>
  <printOptions horizontalCentered="1"/>
  <pageMargins left="0.1968503937007874" right="0.1968503937007874" top="0.7874015748031497" bottom="0.0787401574803149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dyashchuk</dc:creator>
  <cp:keywords/>
  <dc:description/>
  <cp:lastModifiedBy>Колесников Валерий Владимирович</cp:lastModifiedBy>
  <cp:lastPrinted>2019-02-13T16:15:46Z</cp:lastPrinted>
  <dcterms:created xsi:type="dcterms:W3CDTF">2009-11-03T06:23:17Z</dcterms:created>
  <dcterms:modified xsi:type="dcterms:W3CDTF">2019-02-13T16:15:50Z</dcterms:modified>
  <cp:category/>
  <cp:version/>
  <cp:contentType/>
  <cp:contentStatus/>
</cp:coreProperties>
</file>